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\Desktop\Konferencia_SSTZ_24.6.2022\"/>
    </mc:Choice>
  </mc:AlternateContent>
  <xr:revisionPtr revIDLastSave="0" documentId="13_ncr:1_{7444044A-D055-4C9C-A9CC-5F50198E3D2C}" xr6:coauthVersionLast="47" xr6:coauthVersionMax="47" xr10:uidLastSave="{00000000-0000-0000-0000-000000000000}"/>
  <bookViews>
    <workbookView xWindow="-108" yWindow="-108" windowWidth="23256" windowHeight="12456" xr2:uid="{921CABF4-A1F3-4C6B-8286-F500780745EA}"/>
  </bookViews>
  <sheets>
    <sheet name="Rok 2022" sheetId="1" r:id="rId1"/>
    <sheet name="Príjem_202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1" i="1" l="1"/>
  <c r="G2" i="2"/>
  <c r="C2" i="2"/>
  <c r="C34" i="2" s="1"/>
  <c r="C30" i="2"/>
  <c r="C3" i="1" s="1"/>
  <c r="C33" i="2"/>
  <c r="C4" i="1" s="1"/>
  <c r="C45" i="1" l="1"/>
  <c r="C35" i="2"/>
  <c r="C36" i="2" s="1"/>
  <c r="Q3" i="1" l="1"/>
  <c r="O3" i="1"/>
  <c r="N3" i="1"/>
  <c r="C6" i="1"/>
  <c r="P3" i="1" l="1"/>
  <c r="D18" i="1"/>
  <c r="F59" i="1"/>
  <c r="F133" i="1"/>
  <c r="F123" i="1"/>
  <c r="F122" i="1"/>
  <c r="F82" i="1"/>
  <c r="J76" i="1"/>
  <c r="F76" i="1"/>
  <c r="H53" i="1"/>
  <c r="G53" i="1"/>
  <c r="H50" i="1"/>
  <c r="G50" i="1"/>
  <c r="G36" i="1"/>
  <c r="F36" i="1"/>
  <c r="G35" i="1"/>
  <c r="F35" i="1"/>
  <c r="K27" i="1"/>
  <c r="G27" i="1"/>
  <c r="G25" i="1"/>
  <c r="K25" i="1"/>
  <c r="J25" i="1"/>
  <c r="K24" i="1"/>
  <c r="G24" i="1"/>
  <c r="J19" i="1"/>
  <c r="K12" i="1"/>
  <c r="J12" i="1"/>
  <c r="C5" i="1" l="1"/>
  <c r="D118" i="1"/>
  <c r="G118" i="1"/>
  <c r="H118" i="1"/>
  <c r="J118" i="1"/>
  <c r="K118" i="1"/>
  <c r="C7" i="1" l="1"/>
  <c r="F132" i="1"/>
  <c r="F106" i="1"/>
  <c r="F111" i="1"/>
  <c r="F110" i="1"/>
  <c r="F109" i="1"/>
  <c r="F108" i="1"/>
  <c r="F101" i="1"/>
  <c r="F100" i="1"/>
  <c r="F91" i="1"/>
  <c r="F90" i="1"/>
  <c r="F89" i="1"/>
  <c r="F87" i="1"/>
  <c r="F88" i="1"/>
  <c r="F86" i="1"/>
  <c r="F96" i="1"/>
  <c r="U4" i="1"/>
  <c r="T4" i="1"/>
  <c r="K40" i="1"/>
  <c r="G40" i="1"/>
  <c r="K38" i="1"/>
  <c r="J38" i="1"/>
  <c r="G38" i="1"/>
  <c r="K36" i="1"/>
  <c r="J36" i="1"/>
  <c r="K35" i="1"/>
  <c r="J35" i="1"/>
  <c r="K34" i="1"/>
  <c r="J34" i="1"/>
  <c r="G34" i="1"/>
  <c r="F34" i="1"/>
  <c r="K28" i="1"/>
  <c r="J28" i="1"/>
  <c r="G28" i="1"/>
  <c r="K26" i="1"/>
  <c r="J26" i="1"/>
  <c r="G26" i="1"/>
  <c r="K22" i="1"/>
  <c r="G22" i="1"/>
  <c r="K39" i="1"/>
  <c r="G39" i="1"/>
  <c r="K37" i="1"/>
  <c r="J41" i="1"/>
  <c r="D121" i="1"/>
  <c r="K18" i="1"/>
  <c r="H14" i="1"/>
  <c r="H13" i="1"/>
  <c r="D135" i="1"/>
  <c r="E135" i="1"/>
  <c r="G135" i="1"/>
  <c r="H135" i="1"/>
  <c r="J135" i="1"/>
  <c r="K135" i="1"/>
  <c r="F129" i="1"/>
  <c r="F130" i="1"/>
  <c r="F131" i="1"/>
  <c r="F134" i="1"/>
  <c r="F128" i="1"/>
  <c r="G125" i="1"/>
  <c r="G124" i="1"/>
  <c r="E120" i="1"/>
  <c r="E126" i="1" s="1"/>
  <c r="F126" i="1"/>
  <c r="H126" i="1"/>
  <c r="J126" i="1"/>
  <c r="K126" i="1"/>
  <c r="F104" i="1"/>
  <c r="F105" i="1"/>
  <c r="F107" i="1"/>
  <c r="F112" i="1"/>
  <c r="F113" i="1"/>
  <c r="F114" i="1"/>
  <c r="F115" i="1"/>
  <c r="F116" i="1"/>
  <c r="F103" i="1"/>
  <c r="D84" i="1"/>
  <c r="G84" i="1"/>
  <c r="H84" i="1"/>
  <c r="J84" i="1"/>
  <c r="K84" i="1"/>
  <c r="F83" i="1"/>
  <c r="C84" i="1"/>
  <c r="E78" i="1"/>
  <c r="E79" i="1"/>
  <c r="E80" i="1"/>
  <c r="E81" i="1"/>
  <c r="E77" i="1"/>
  <c r="F75" i="1"/>
  <c r="D73" i="1"/>
  <c r="G73" i="1"/>
  <c r="H73" i="1"/>
  <c r="J73" i="1"/>
  <c r="K73" i="1"/>
  <c r="E64" i="1"/>
  <c r="E102" i="1"/>
  <c r="E65" i="1"/>
  <c r="E66" i="1"/>
  <c r="E67" i="1"/>
  <c r="E68" i="1"/>
  <c r="E97" i="1"/>
  <c r="E98" i="1"/>
  <c r="E99" i="1"/>
  <c r="E69" i="1"/>
  <c r="E70" i="1"/>
  <c r="E71" i="1"/>
  <c r="E72" i="1"/>
  <c r="F93" i="1"/>
  <c r="F94" i="1"/>
  <c r="F95" i="1"/>
  <c r="F92" i="1"/>
  <c r="C73" i="1"/>
  <c r="E62" i="1"/>
  <c r="G62" i="1"/>
  <c r="H62" i="1"/>
  <c r="J62" i="1"/>
  <c r="K62" i="1"/>
  <c r="D62" i="1"/>
  <c r="F58" i="1"/>
  <c r="F60" i="1"/>
  <c r="F61" i="1"/>
  <c r="F57" i="1"/>
  <c r="E55" i="1"/>
  <c r="F55" i="1"/>
  <c r="H55" i="1"/>
  <c r="G54" i="1"/>
  <c r="J52" i="1"/>
  <c r="J55" i="1" s="1"/>
  <c r="G49" i="1"/>
  <c r="G48" i="1"/>
  <c r="K47" i="1"/>
  <c r="G47" i="1"/>
  <c r="J32" i="1"/>
  <c r="F43" i="1"/>
  <c r="E44" i="1"/>
  <c r="E45" i="1" s="1"/>
  <c r="G33" i="1"/>
  <c r="G31" i="1"/>
  <c r="K30" i="1"/>
  <c r="G29" i="1"/>
  <c r="G23" i="1"/>
  <c r="K21" i="1"/>
  <c r="J21" i="1"/>
  <c r="G21" i="1"/>
  <c r="G20" i="1"/>
  <c r="G15" i="1"/>
  <c r="G16" i="1"/>
  <c r="G17" i="1"/>
  <c r="K51" i="1"/>
  <c r="D55" i="1"/>
  <c r="C55" i="1"/>
  <c r="C135" i="1"/>
  <c r="C126" i="1"/>
  <c r="C62" i="1"/>
  <c r="E118" i="1" l="1"/>
  <c r="F118" i="1"/>
  <c r="D126" i="1"/>
  <c r="H45" i="1"/>
  <c r="H140" i="1" s="1"/>
  <c r="R4" i="1" s="1"/>
  <c r="R5" i="1" s="1"/>
  <c r="G126" i="1"/>
  <c r="F135" i="1"/>
  <c r="K45" i="1"/>
  <c r="F84" i="1"/>
  <c r="E84" i="1"/>
  <c r="F45" i="1"/>
  <c r="G55" i="1"/>
  <c r="D45" i="1"/>
  <c r="F62" i="1"/>
  <c r="F73" i="1"/>
  <c r="E73" i="1"/>
  <c r="K55" i="1"/>
  <c r="J45" i="1"/>
  <c r="J140" i="1" s="1"/>
  <c r="T5" i="1" s="1"/>
  <c r="D140" i="1" l="1"/>
  <c r="F140" i="1"/>
  <c r="P4" i="1" s="1"/>
  <c r="P5" i="1" s="1"/>
  <c r="E140" i="1"/>
  <c r="O4" i="1" s="1"/>
  <c r="O5" i="1" s="1"/>
  <c r="K140" i="1"/>
  <c r="U5" i="1" s="1"/>
  <c r="G45" i="1"/>
  <c r="G140" i="1" s="1"/>
  <c r="Q4" i="1" s="1"/>
  <c r="Q5" i="1" s="1"/>
  <c r="N4" i="1" l="1"/>
  <c r="N5" i="1" s="1"/>
  <c r="I117" i="1"/>
  <c r="I118" i="1" s="1"/>
  <c r="I140" i="1" s="1"/>
  <c r="S5" i="1" s="1"/>
  <c r="C118" i="1"/>
  <c r="C140" i="1" s="1"/>
  <c r="C1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Zuzana</author>
  </authors>
  <commentList>
    <comment ref="B5" authorId="0" shapeId="0" xr:uid="{75CE1A4B-FD2C-4034-A3C8-63574CD1F4E4}">
      <text>
        <r>
          <rPr>
            <b/>
            <sz val="9"/>
            <color indexed="81"/>
            <rFont val="Segoe UI"/>
            <family val="2"/>
            <charset val="238"/>
          </rPr>
          <t>Zuzana:</t>
        </r>
        <r>
          <rPr>
            <sz val="9"/>
            <color indexed="81"/>
            <rFont val="Segoe UI"/>
            <family val="2"/>
            <charset val="238"/>
          </rPr>
          <t xml:space="preserve">
14.000,- registr.
2.000,- dary
104.000,- výnosy šport.činnosti</t>
        </r>
      </text>
    </comment>
    <comment ref="B6" authorId="0" shapeId="0" xr:uid="{4720E616-D000-428D-93AE-CB77074B815A}">
      <text>
        <r>
          <rPr>
            <b/>
            <sz val="9"/>
            <color indexed="81"/>
            <rFont val="Segoe UI"/>
            <family val="2"/>
            <charset val="238"/>
          </rPr>
          <t xml:space="preserve">Zuzana:
</t>
        </r>
        <r>
          <rPr>
            <sz val="9"/>
            <color indexed="81"/>
            <rFont val="Segoe UI"/>
            <family val="2"/>
            <charset val="238"/>
          </rPr>
          <t>70.000,-
1.000,-
5.000,-
18.000,-
6.000,-</t>
        </r>
      </text>
    </comment>
    <comment ref="D9" authorId="0" shapeId="0" xr:uid="{C5A22A7B-F4B5-4402-9071-5785A3495454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najmenej 15% a viac, mládež 23 rokov</t>
        </r>
      </text>
    </comment>
    <comment ref="E9" authorId="0" shapeId="0" xr:uid="{6AE530BF-94B4-421E-86F2-BA69E9B321E9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najmenej 20% talenty</t>
        </r>
      </text>
    </comment>
    <comment ref="F9" authorId="0" shapeId="0" xr:uid="{589CBB6D-04D8-487E-A615-6DD9F078754E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najmenej 25% reprezentácia</t>
        </r>
      </text>
    </comment>
    <comment ref="G9" authorId="0" shapeId="0" xr:uid="{4112DEDB-7D2A-475F-B837-207F2B2D98C5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najviac 15% na správu a prevádzku</t>
        </r>
      </text>
    </comment>
    <comment ref="H9" authorId="0" shapeId="0" xr:uid="{B48E3CE1-BF05-4376-8F8D-B3A80541DD48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najviac 25% kapitálové výdavky ( 25%-1.1., 1.2., 1.3. )</t>
        </r>
      </text>
    </comment>
    <comment ref="B21" authorId="0" shapeId="0" xr:uid="{46F17C46-E0E0-4D3F-A901-0D32F2316A01}">
      <text>
        <r>
          <rPr>
            <b/>
            <sz val="9"/>
            <color indexed="81"/>
            <rFont val="Segoe UI"/>
            <family val="2"/>
            <charset val="238"/>
          </rPr>
          <t>Zuzana:</t>
        </r>
        <r>
          <rPr>
            <sz val="9"/>
            <color indexed="81"/>
            <rFont val="Segoe UI"/>
            <family val="2"/>
            <charset val="238"/>
          </rPr>
          <t xml:space="preserve">
delenie PHM podľa zaradenia aut</t>
        </r>
      </text>
    </comment>
    <comment ref="B22" authorId="0" shapeId="0" xr:uid="{D3CF4248-D4D1-4359-8FA3-C72B68AF1EB5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nakup počítačov</t>
        </r>
      </text>
    </comment>
    <comment ref="C41" authorId="0" shapeId="0" xr:uid="{D27DDB22-0C8B-44BC-AD2F-4BD1A810E454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práčovńa, zahradkarske veci, ubytovanie v hale...</t>
        </r>
      </text>
    </comment>
    <comment ref="B49" authorId="0" shapeId="0" xr:uid="{FF32A682-0EA3-4D32-BF25-D391B862DB67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Print ? Online ???</t>
        </r>
      </text>
    </comment>
    <comment ref="B120" authorId="0" shapeId="0" xr:uid="{896E80E1-C5AE-4701-97C5-02400DB453D8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Máme stoly BTF, nie je potrebné kupovať nové, financie výlučne na organizáciu </t>
        </r>
      </text>
    </comment>
    <comment ref="B124" authorId="0" shapeId="0" xr:uid="{240F149E-C93A-4C71-9D5F-E3FB0A9D81F9}">
      <text>
        <r>
          <rPr>
            <b/>
            <sz val="9"/>
            <color indexed="81"/>
            <rFont val="Segoe UI"/>
            <charset val="1"/>
          </rPr>
          <t>Zuzana:</t>
        </r>
        <r>
          <rPr>
            <sz val="9"/>
            <color indexed="81"/>
            <rFont val="Segoe UI"/>
            <charset val="1"/>
          </rPr>
          <t xml:space="preserve">
online formát</t>
        </r>
      </text>
    </comment>
    <comment ref="B138" authorId="0" shapeId="0" xr:uid="{2CA3AD39-B713-4772-B8AC-AE706FF92D4B}">
      <text>
        <r>
          <rPr>
            <b/>
            <sz val="9"/>
            <color indexed="81"/>
            <rFont val="Segoe UI"/>
            <family val="2"/>
            <charset val="238"/>
          </rPr>
          <t>Zuzana:</t>
        </r>
        <r>
          <rPr>
            <sz val="9"/>
            <color indexed="81"/>
            <rFont val="Segoe UI"/>
            <family val="2"/>
            <charset val="238"/>
          </rPr>
          <t xml:space="preserve">
MS SR oznamuje v mesiaci február, zvláštna zmluva</t>
        </r>
      </text>
    </comment>
  </commentList>
</comments>
</file>

<file path=xl/sharedStrings.xml><?xml version="1.0" encoding="utf-8"?>
<sst xmlns="http://schemas.openxmlformats.org/spreadsheetml/2006/main" count="380" uniqueCount="196">
  <si>
    <t>poštovné</t>
  </si>
  <si>
    <t>školenia, vzdelávanie</t>
  </si>
  <si>
    <t>účtovníctvo</t>
  </si>
  <si>
    <t>repre fond (pohostenie+diplomacia)</t>
  </si>
  <si>
    <t>PHM</t>
  </si>
  <si>
    <t>konferencia SSTZ</t>
  </si>
  <si>
    <t>IT&amp;telecom</t>
  </si>
  <si>
    <t>kancelársky materiál</t>
  </si>
  <si>
    <t>bankové poplatky</t>
  </si>
  <si>
    <t>cestovné</t>
  </si>
  <si>
    <t>náklady kontrolóra</t>
  </si>
  <si>
    <t>výťah</t>
  </si>
  <si>
    <t>lektor, kurzy</t>
  </si>
  <si>
    <t>priprava metodickych materialov</t>
  </si>
  <si>
    <t>trenerska konferencia</t>
  </si>
  <si>
    <t>Výcvikové tábory</t>
  </si>
  <si>
    <t>Kontrolné turnaje</t>
  </si>
  <si>
    <t>materiál</t>
  </si>
  <si>
    <t>MiniChamps + Camp + turnaje</t>
  </si>
  <si>
    <t>Dunajský pohar + olympic Hopes V4</t>
  </si>
  <si>
    <t>NSTCM</t>
  </si>
  <si>
    <t>Satelit</t>
  </si>
  <si>
    <t>poháre</t>
  </si>
  <si>
    <t>MSR juniori</t>
  </si>
  <si>
    <t>MSR St žiaci</t>
  </si>
  <si>
    <t>MSR ml žiactvo</t>
  </si>
  <si>
    <t>MSR nml žiactvo</t>
  </si>
  <si>
    <t>SPM</t>
  </si>
  <si>
    <t>MSR dospelí</t>
  </si>
  <si>
    <t>TOP 16 ETTU</t>
  </si>
  <si>
    <t>Superliga</t>
  </si>
  <si>
    <t>MS</t>
  </si>
  <si>
    <t>ME 21</t>
  </si>
  <si>
    <t>ME družstvá/jednotlivci</t>
  </si>
  <si>
    <t>WT Grand Finals</t>
  </si>
  <si>
    <t>kvalifikácia ME</t>
  </si>
  <si>
    <t>kvalifikácia OH a Európske hry</t>
  </si>
  <si>
    <t>ubytovanie</t>
  </si>
  <si>
    <t>Univerziáda</t>
  </si>
  <si>
    <t>Svet.deň stolného tenisu</t>
  </si>
  <si>
    <t>Odmeny TOP sportovcom a trenerom</t>
  </si>
  <si>
    <t>Regionálne centrá / CTM</t>
  </si>
  <si>
    <t>UTM</t>
  </si>
  <si>
    <t>Náklady na vzdelávanie rozhodcov</t>
  </si>
  <si>
    <t xml:space="preserve">Z TOHO; </t>
  </si>
  <si>
    <t xml:space="preserve"> </t>
  </si>
  <si>
    <t xml:space="preserve">splatka uveru na odkúpenie pozemkov </t>
  </si>
  <si>
    <t>mzdy_sekretariát</t>
  </si>
  <si>
    <t>zasadnutia VV SSTZ</t>
  </si>
  <si>
    <t>Administratíva_Správa_Réžia;(SSTZ_centrála)</t>
  </si>
  <si>
    <t>Komisia_mládež; (R.Grigel)</t>
  </si>
  <si>
    <t>Komisia_Metodicko-vzdelávacia; (A.Kutiš)</t>
  </si>
  <si>
    <t>Komisia Rozhodcov; (St.Sladkovič)</t>
  </si>
  <si>
    <t>Komisia masového rozvoja a školského športu; (Z.Perháčová)</t>
  </si>
  <si>
    <t>Komisia pre ekonomiku a marketing; (Z.Juríková)</t>
  </si>
  <si>
    <t>Príručka rozhodcov SSTZ</t>
  </si>
  <si>
    <t xml:space="preserve">Činnosť komisie </t>
  </si>
  <si>
    <t>Príspevok klubom mládeže 23</t>
  </si>
  <si>
    <t>Projekt ST do škôl</t>
  </si>
  <si>
    <t>Voda</t>
  </si>
  <si>
    <t xml:space="preserve">Plyn </t>
  </si>
  <si>
    <t>Elektrina</t>
  </si>
  <si>
    <t>Plan
 2022</t>
  </si>
  <si>
    <t xml:space="preserve">PRÍJEM </t>
  </si>
  <si>
    <t>VÝDAJ</t>
  </si>
  <si>
    <t>Finančný plán na rok 2022;</t>
  </si>
  <si>
    <t>Dotácia MS SR (1)</t>
  </si>
  <si>
    <t>Športová činnosť (2)</t>
  </si>
  <si>
    <t>Podnikateľská činnosť (3)</t>
  </si>
  <si>
    <t xml:space="preserve">PRÍJEM SPOLU SSTZ; </t>
  </si>
  <si>
    <t>VÝDAJ SPOLU SSTZ;</t>
  </si>
  <si>
    <t>Podpora športovcom v núdzi 2 x 1000 eur</t>
  </si>
  <si>
    <t>Webové stránky, sociálne siete</t>
  </si>
  <si>
    <t xml:space="preserve">Kalendár SSTZ </t>
  </si>
  <si>
    <t xml:space="preserve">Časopis SSTZ, 4 vydania ročne </t>
  </si>
  <si>
    <t>1.2.</t>
  </si>
  <si>
    <t>náklady na prevádzku STH</t>
  </si>
  <si>
    <t xml:space="preserve">Vratky kaucií klubom </t>
  </si>
  <si>
    <t xml:space="preserve">Príspevok na činnosť krajským zväzom </t>
  </si>
  <si>
    <t>1.10.</t>
  </si>
  <si>
    <t>Komisia (D.Jahoda )</t>
  </si>
  <si>
    <t>Šport.</t>
  </si>
  <si>
    <t>činn.(2)</t>
  </si>
  <si>
    <t>Podnikat.</t>
  </si>
  <si>
    <t>činn.(3)</t>
  </si>
  <si>
    <t>Dotácia;</t>
  </si>
  <si>
    <t>Mzdy</t>
  </si>
  <si>
    <t>Odmeny (Národný projekt)</t>
  </si>
  <si>
    <t>Národné spolu (R.Čelko)</t>
  </si>
  <si>
    <t>Komisia_mládež spolu (R.Grigel)</t>
  </si>
  <si>
    <t>Komisia_Metodicko vzdelávacia spolu (A.Kutiš)</t>
  </si>
  <si>
    <t>Komisia pre ekonomiku a marketing spolu (Z.Juríková)</t>
  </si>
  <si>
    <t>Reprezentácia spolu ( M.Grman)</t>
  </si>
  <si>
    <t>Reprezentácia spolu (M.Grman)</t>
  </si>
  <si>
    <t>Masový a školský šport spolu (Z.Perháčová)</t>
  </si>
  <si>
    <t>Komisia Rozhodcov spolu (St.Sladkovič)</t>
  </si>
  <si>
    <t>(1.1.)</t>
  </si>
  <si>
    <t>(1.2.)</t>
  </si>
  <si>
    <t>(1.3.)</t>
  </si>
  <si>
    <t>(1.4.)</t>
  </si>
  <si>
    <t>(1.5.)</t>
  </si>
  <si>
    <t>1.5.</t>
  </si>
  <si>
    <t>1.1.(a viac)</t>
  </si>
  <si>
    <t>1.2.(a viac)</t>
  </si>
  <si>
    <t>1.3.(a viac)</t>
  </si>
  <si>
    <t>1.4.(a menej)</t>
  </si>
  <si>
    <t>Plán 2022</t>
  </si>
  <si>
    <t>Rozdiel</t>
  </si>
  <si>
    <t>ROZDIEL SPOLU SSTZ; REZERVA</t>
  </si>
  <si>
    <t>Seminár rozhodcov / lektorov SSTZ</t>
  </si>
  <si>
    <t>Materiál, mikiny, tričká, foldery, žrebovatka</t>
  </si>
  <si>
    <t>4 x Projekt_publikačná činnosť_á_500 eur</t>
  </si>
  <si>
    <t>St.talent_s ťažkým osudom</t>
  </si>
  <si>
    <t>Zmluva s MS SR(2022)</t>
  </si>
  <si>
    <t xml:space="preserve">Slávnostný večer, Stolný tenista roka, online režim </t>
  </si>
  <si>
    <t>Informačný systém _a_300 eur/ mesačne údržba</t>
  </si>
  <si>
    <t>extraliga, odmena víťazovi, spojené náklady  s finále</t>
  </si>
  <si>
    <t>Veteráni</t>
  </si>
  <si>
    <t>členské poplatky ITTF, ETTU</t>
  </si>
  <si>
    <t xml:space="preserve">životné udalosti, Sieň slávy </t>
  </si>
  <si>
    <t>WTT_youth_contender</t>
  </si>
  <si>
    <t>šport.č.</t>
  </si>
  <si>
    <t>podn.č.</t>
  </si>
  <si>
    <t>Ostatné služby; VO, logistické, právne</t>
  </si>
  <si>
    <t>Poistné nehnuteľnosti a autá</t>
  </si>
  <si>
    <t xml:space="preserve">Cestovné náklady; všetky ostatné </t>
  </si>
  <si>
    <t>Auta;servis, pneumatiky, dialn.nálepky....</t>
  </si>
  <si>
    <t>odpad OLO</t>
  </si>
  <si>
    <t xml:space="preserve">údržba ostatná; opravy </t>
  </si>
  <si>
    <t>PR komunikácia ( novinári ), Bogdanyi</t>
  </si>
  <si>
    <t xml:space="preserve">MS mládeže </t>
  </si>
  <si>
    <t>ME mládeže</t>
  </si>
  <si>
    <t>Youth Open; WTT_contender</t>
  </si>
  <si>
    <t>WTT Contender dospelí</t>
  </si>
  <si>
    <t>OH mládeže</t>
  </si>
  <si>
    <t>EH mládeže</t>
  </si>
  <si>
    <t xml:space="preserve">OH  </t>
  </si>
  <si>
    <t xml:space="preserve">EH  </t>
  </si>
  <si>
    <t>NSTC; strava, administrativa</t>
  </si>
  <si>
    <t>NSTC; hráčske náklady, odmeny za vysledky</t>
  </si>
  <si>
    <t>NSTC; sparing</t>
  </si>
  <si>
    <t>NSTC; lekárska starostlivost, regenerácia,...</t>
  </si>
  <si>
    <t>NSTC; mzdy</t>
  </si>
  <si>
    <t xml:space="preserve">Extraliga, rozhodcovia </t>
  </si>
  <si>
    <t>(1.10.)</t>
  </si>
  <si>
    <t>Dotácia PUŠ MS SR (1)</t>
  </si>
  <si>
    <t>Iné dotácie MŠ SR (1)</t>
  </si>
  <si>
    <t>TopTeam</t>
  </si>
  <si>
    <t>WTT Contender</t>
  </si>
  <si>
    <t>EUROTALENTS</t>
  </si>
  <si>
    <t>iné dotácie z ver. zdrojov</t>
  </si>
  <si>
    <t>nájom ubytovne</t>
  </si>
  <si>
    <t>nájom STH</t>
  </si>
  <si>
    <t>Semináre</t>
  </si>
  <si>
    <t>samoplátci</t>
  </si>
  <si>
    <t>reklama</t>
  </si>
  <si>
    <t>nájom ost. priestorov</t>
  </si>
  <si>
    <t>distribúcia časopisu SCI</t>
  </si>
  <si>
    <t>Športové centrum polície</t>
  </si>
  <si>
    <t>2. športová činnosť</t>
  </si>
  <si>
    <t>3. podnikateľská činnosť</t>
  </si>
  <si>
    <t>štartovné MSR</t>
  </si>
  <si>
    <t>expedícia kníh</t>
  </si>
  <si>
    <t>Daň z príjmu zväzu, daň z nehnuteľnosti, RTVS</t>
  </si>
  <si>
    <t>1.10.TopTeam</t>
  </si>
  <si>
    <t>Regionálne výbery =) hľadanie talentov</t>
  </si>
  <si>
    <t>Cestovné náklady, zahraničie</t>
  </si>
  <si>
    <t>stavebne opravy investičné, rekonštr.haly, regenerácia</t>
  </si>
  <si>
    <t>investície okrem stavebných; mikrobus, osobné auto</t>
  </si>
  <si>
    <t>RP poukázané (vr. kaucií)</t>
  </si>
  <si>
    <t>odpredaj materiálu</t>
  </si>
  <si>
    <t>alzabox</t>
  </si>
  <si>
    <t>RP fakturované</t>
  </si>
  <si>
    <t>sprievodné činnosti SPM</t>
  </si>
  <si>
    <t>školenie trénerov</t>
  </si>
  <si>
    <t>VT STAG</t>
  </si>
  <si>
    <t>školenie rozhodcov</t>
  </si>
  <si>
    <t>prenos PUŠ 2021</t>
  </si>
  <si>
    <t>PUŠ 2022</t>
  </si>
  <si>
    <t>CELKOM:</t>
  </si>
  <si>
    <t>PUŠ celkom</t>
  </si>
  <si>
    <t>US1</t>
  </si>
  <si>
    <t xml:space="preserve">2% dane </t>
  </si>
  <si>
    <t xml:space="preserve">Projekty, BSK, Granty </t>
  </si>
  <si>
    <t>zostáva otvorené</t>
  </si>
  <si>
    <t>zvýšené od 1.4.</t>
  </si>
  <si>
    <t>ZU SR 2022</t>
  </si>
  <si>
    <t>CES</t>
  </si>
  <si>
    <t>navýšenie príspevku 5%</t>
  </si>
  <si>
    <t>SŠŠ Šamorín</t>
  </si>
  <si>
    <t>iné štátne príspevky</t>
  </si>
  <si>
    <t>Projekt SOŠV inv.</t>
  </si>
  <si>
    <t>?</t>
  </si>
  <si>
    <t>SOŠV 1/22</t>
  </si>
  <si>
    <t>US2 výnosy celkom</t>
  </si>
  <si>
    <t>US3 výnosy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</si>
</sst>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rgb="FFFFFFFF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F4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64">
    <xf numFmtId="0" fontId="0" fillId="0" borderId="0" xfId="0"/>
    <xf numFmtId="3" fontId="2" fillId="0" borderId="0" xfId="0" applyNumberFormat="1" applyFont="1"/>
    <xf numFmtId="3" fontId="2" fillId="2" borderId="2" xfId="0" applyNumberFormat="1" applyFont="1" applyFill="1" applyBorder="1" applyAlignment="1">
      <alignment vertical="top" readingOrder="3"/>
    </xf>
    <xf numFmtId="3" fontId="2" fillId="6" borderId="5" xfId="0" applyNumberFormat="1" applyFont="1" applyFill="1" applyBorder="1" applyAlignment="1">
      <alignment vertical="top" readingOrder="3"/>
    </xf>
    <xf numFmtId="3" fontId="3" fillId="6" borderId="5" xfId="0" applyNumberFormat="1" applyFont="1" applyFill="1" applyBorder="1" applyAlignment="1">
      <alignment vertical="top" readingOrder="3"/>
    </xf>
    <xf numFmtId="3" fontId="2" fillId="7" borderId="5" xfId="0" applyNumberFormat="1" applyFont="1" applyFill="1" applyBorder="1" applyAlignment="1">
      <alignment vertical="top" readingOrder="3"/>
    </xf>
    <xf numFmtId="3" fontId="3" fillId="7" borderId="5" xfId="0" applyNumberFormat="1" applyFont="1" applyFill="1" applyBorder="1" applyAlignment="1">
      <alignment vertical="top" readingOrder="3"/>
    </xf>
    <xf numFmtId="3" fontId="3" fillId="10" borderId="5" xfId="0" applyNumberFormat="1" applyFont="1" applyFill="1" applyBorder="1" applyAlignment="1">
      <alignment vertical="top" readingOrder="3"/>
    </xf>
    <xf numFmtId="3" fontId="2" fillId="10" borderId="5" xfId="0" applyNumberFormat="1" applyFont="1" applyFill="1" applyBorder="1" applyAlignment="1">
      <alignment vertical="top" readingOrder="3"/>
    </xf>
    <xf numFmtId="3" fontId="3" fillId="12" borderId="5" xfId="0" applyNumberFormat="1" applyFont="1" applyFill="1" applyBorder="1" applyAlignment="1">
      <alignment vertical="top" readingOrder="3"/>
    </xf>
    <xf numFmtId="3" fontId="2" fillId="12" borderId="5" xfId="0" applyNumberFormat="1" applyFont="1" applyFill="1" applyBorder="1" applyAlignment="1">
      <alignment vertical="top" readingOrder="3"/>
    </xf>
    <xf numFmtId="3" fontId="3" fillId="7" borderId="9" xfId="0" applyNumberFormat="1" applyFont="1" applyFill="1" applyBorder="1" applyAlignment="1">
      <alignment vertical="top" readingOrder="3"/>
    </xf>
    <xf numFmtId="3" fontId="2" fillId="10" borderId="9" xfId="0" applyNumberFormat="1" applyFont="1" applyFill="1" applyBorder="1" applyAlignment="1">
      <alignment vertical="top" readingOrder="3"/>
    </xf>
    <xf numFmtId="3" fontId="3" fillId="10" borderId="6" xfId="0" applyNumberFormat="1" applyFont="1" applyFill="1" applyBorder="1" applyAlignment="1">
      <alignment vertical="top" readingOrder="3"/>
    </xf>
    <xf numFmtId="3" fontId="2" fillId="6" borderId="5" xfId="0" applyNumberFormat="1" applyFont="1" applyFill="1" applyBorder="1" applyAlignment="1">
      <alignment vertical="center"/>
    </xf>
    <xf numFmtId="3" fontId="3" fillId="7" borderId="6" xfId="0" applyNumberFormat="1" applyFont="1" applyFill="1" applyBorder="1" applyAlignment="1">
      <alignment vertical="top" readingOrder="3"/>
    </xf>
    <xf numFmtId="3" fontId="2" fillId="6" borderId="12" xfId="0" applyNumberFormat="1" applyFont="1" applyFill="1" applyBorder="1"/>
    <xf numFmtId="3" fontId="3" fillId="12" borderId="9" xfId="0" applyNumberFormat="1" applyFont="1" applyFill="1" applyBorder="1" applyAlignment="1">
      <alignment vertical="top" readingOrder="3"/>
    </xf>
    <xf numFmtId="3" fontId="2" fillId="12" borderId="10" xfId="0" applyNumberFormat="1" applyFont="1" applyFill="1" applyBorder="1"/>
    <xf numFmtId="3" fontId="2" fillId="12" borderId="12" xfId="0" applyNumberFormat="1" applyFont="1" applyFill="1" applyBorder="1"/>
    <xf numFmtId="3" fontId="2" fillId="12" borderId="12" xfId="0" applyNumberFormat="1" applyFont="1" applyFill="1" applyBorder="1" applyAlignment="1">
      <alignment vertical="top" readingOrder="3"/>
    </xf>
    <xf numFmtId="3" fontId="3" fillId="3" borderId="5" xfId="0" applyNumberFormat="1" applyFont="1" applyFill="1" applyBorder="1" applyAlignment="1">
      <alignment vertical="top" readingOrder="3"/>
    </xf>
    <xf numFmtId="3" fontId="2" fillId="3" borderId="6" xfId="0" applyNumberFormat="1" applyFont="1" applyFill="1" applyBorder="1" applyAlignment="1">
      <alignment vertical="top" readingOrder="3"/>
    </xf>
    <xf numFmtId="3" fontId="2" fillId="3" borderId="12" xfId="0" applyNumberFormat="1" applyFont="1" applyFill="1" applyBorder="1"/>
    <xf numFmtId="3" fontId="2" fillId="3" borderId="28" xfId="0" applyNumberFormat="1" applyFont="1" applyFill="1" applyBorder="1"/>
    <xf numFmtId="3" fontId="2" fillId="7" borderId="26" xfId="0" applyNumberFormat="1" applyFont="1" applyFill="1" applyBorder="1"/>
    <xf numFmtId="3" fontId="2" fillId="7" borderId="12" xfId="0" applyNumberFormat="1" applyFont="1" applyFill="1" applyBorder="1"/>
    <xf numFmtId="3" fontId="2" fillId="7" borderId="28" xfId="0" applyNumberFormat="1" applyFont="1" applyFill="1" applyBorder="1"/>
    <xf numFmtId="3" fontId="2" fillId="12" borderId="29" xfId="0" applyNumberFormat="1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3" fontId="2" fillId="3" borderId="5" xfId="0" applyNumberFormat="1" applyFont="1" applyFill="1" applyBorder="1"/>
    <xf numFmtId="3" fontId="2" fillId="0" borderId="22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Fill="1"/>
    <xf numFmtId="3" fontId="2" fillId="6" borderId="5" xfId="0" applyNumberFormat="1" applyFont="1" applyFill="1" applyBorder="1"/>
    <xf numFmtId="3" fontId="2" fillId="2" borderId="31" xfId="0" applyNumberFormat="1" applyFont="1" applyFill="1" applyBorder="1" applyAlignment="1">
      <alignment vertical="top" readingOrder="3"/>
    </xf>
    <xf numFmtId="3" fontId="2" fillId="0" borderId="35" xfId="0" applyNumberFormat="1" applyFont="1" applyBorder="1"/>
    <xf numFmtId="3" fontId="2" fillId="0" borderId="32" xfId="0" applyNumberFormat="1" applyFont="1" applyBorder="1"/>
    <xf numFmtId="3" fontId="4" fillId="6" borderId="17" xfId="0" applyNumberFormat="1" applyFont="1" applyFill="1" applyBorder="1" applyAlignment="1">
      <alignment vertical="top" readingOrder="3"/>
    </xf>
    <xf numFmtId="3" fontId="4" fillId="0" borderId="0" xfId="0" applyNumberFormat="1" applyFont="1"/>
    <xf numFmtId="3" fontId="1" fillId="6" borderId="17" xfId="0" applyNumberFormat="1" applyFont="1" applyFill="1" applyBorder="1" applyAlignment="1">
      <alignment vertical="top" readingOrder="3"/>
    </xf>
    <xf numFmtId="3" fontId="4" fillId="9" borderId="17" xfId="0" applyNumberFormat="1" applyFont="1" applyFill="1" applyBorder="1"/>
    <xf numFmtId="3" fontId="4" fillId="9" borderId="18" xfId="0" applyNumberFormat="1" applyFont="1" applyFill="1" applyBorder="1"/>
    <xf numFmtId="3" fontId="2" fillId="12" borderId="5" xfId="0" applyNumberFormat="1" applyFont="1" applyFill="1" applyBorder="1"/>
    <xf numFmtId="3" fontId="2" fillId="12" borderId="9" xfId="0" applyNumberFormat="1" applyFont="1" applyFill="1" applyBorder="1"/>
    <xf numFmtId="3" fontId="4" fillId="12" borderId="0" xfId="0" applyNumberFormat="1" applyFont="1" applyFill="1" applyBorder="1" applyAlignment="1">
      <alignment vertical="top" readingOrder="3"/>
    </xf>
    <xf numFmtId="3" fontId="1" fillId="13" borderId="0" xfId="0" applyNumberFormat="1" applyFont="1" applyFill="1" applyBorder="1" applyAlignment="1">
      <alignment vertical="top" readingOrder="3"/>
    </xf>
    <xf numFmtId="3" fontId="4" fillId="12" borderId="39" xfId="0" applyNumberFormat="1" applyFont="1" applyFill="1" applyBorder="1"/>
    <xf numFmtId="3" fontId="4" fillId="12" borderId="0" xfId="0" applyNumberFormat="1" applyFont="1" applyFill="1" applyBorder="1"/>
    <xf numFmtId="3" fontId="2" fillId="12" borderId="33" xfId="0" applyNumberFormat="1" applyFont="1" applyFill="1" applyBorder="1"/>
    <xf numFmtId="3" fontId="2" fillId="6" borderId="29" xfId="0" applyNumberFormat="1" applyFont="1" applyFill="1" applyBorder="1"/>
    <xf numFmtId="3" fontId="5" fillId="9" borderId="12" xfId="0" applyNumberFormat="1" applyFont="1" applyFill="1" applyBorder="1" applyAlignment="1">
      <alignment vertical="top" readingOrder="3"/>
    </xf>
    <xf numFmtId="3" fontId="5" fillId="6" borderId="14" xfId="0" applyNumberFormat="1" applyFont="1" applyFill="1" applyBorder="1" applyAlignment="1">
      <alignment vertical="top" readingOrder="3"/>
    </xf>
    <xf numFmtId="3" fontId="2" fillId="9" borderId="15" xfId="0" applyNumberFormat="1" applyFont="1" applyFill="1" applyBorder="1"/>
    <xf numFmtId="3" fontId="8" fillId="9" borderId="17" xfId="0" applyNumberFormat="1" applyFont="1" applyFill="1" applyBorder="1" applyAlignment="1">
      <alignment horizontal="center" vertical="top" wrapText="1"/>
    </xf>
    <xf numFmtId="3" fontId="2" fillId="6" borderId="17" xfId="0" applyNumberFormat="1" applyFont="1" applyFill="1" applyBorder="1"/>
    <xf numFmtId="3" fontId="2" fillId="6" borderId="18" xfId="0" applyNumberFormat="1" applyFont="1" applyFill="1" applyBorder="1"/>
    <xf numFmtId="3" fontId="2" fillId="12" borderId="6" xfId="0" applyNumberFormat="1" applyFont="1" applyFill="1" applyBorder="1"/>
    <xf numFmtId="3" fontId="2" fillId="12" borderId="28" xfId="0" applyNumberFormat="1" applyFont="1" applyFill="1" applyBorder="1"/>
    <xf numFmtId="3" fontId="2" fillId="12" borderId="40" xfId="0" applyNumberFormat="1" applyFont="1" applyFill="1" applyBorder="1"/>
    <xf numFmtId="3" fontId="4" fillId="12" borderId="42" xfId="0" applyNumberFormat="1" applyFont="1" applyFill="1" applyBorder="1" applyAlignment="1">
      <alignment vertical="top" readingOrder="3"/>
    </xf>
    <xf numFmtId="3" fontId="1" fillId="13" borderId="43" xfId="0" applyNumberFormat="1" applyFont="1" applyFill="1" applyBorder="1" applyAlignment="1">
      <alignment vertical="top" readingOrder="3"/>
    </xf>
    <xf numFmtId="3" fontId="1" fillId="13" borderId="44" xfId="0" applyNumberFormat="1" applyFont="1" applyFill="1" applyBorder="1" applyAlignment="1">
      <alignment vertical="top" readingOrder="3"/>
    </xf>
    <xf numFmtId="3" fontId="1" fillId="13" borderId="42" xfId="0" applyNumberFormat="1" applyFont="1" applyFill="1" applyBorder="1" applyAlignment="1">
      <alignment vertical="top" readingOrder="3"/>
    </xf>
    <xf numFmtId="3" fontId="2" fillId="7" borderId="5" xfId="0" applyNumberFormat="1" applyFont="1" applyFill="1" applyBorder="1"/>
    <xf numFmtId="3" fontId="2" fillId="7" borderId="25" xfId="0" applyNumberFormat="1" applyFont="1" applyFill="1" applyBorder="1"/>
    <xf numFmtId="3" fontId="4" fillId="7" borderId="17" xfId="0" applyNumberFormat="1" applyFont="1" applyFill="1" applyBorder="1" applyAlignment="1">
      <alignment vertical="top" readingOrder="3"/>
    </xf>
    <xf numFmtId="3" fontId="5" fillId="8" borderId="17" xfId="0" applyNumberFormat="1" applyFont="1" applyFill="1" applyBorder="1" applyAlignment="1">
      <alignment vertical="top" readingOrder="3"/>
    </xf>
    <xf numFmtId="3" fontId="2" fillId="7" borderId="17" xfId="0" applyNumberFormat="1" applyFont="1" applyFill="1" applyBorder="1"/>
    <xf numFmtId="3" fontId="2" fillId="7" borderId="18" xfId="0" applyNumberFormat="1" applyFont="1" applyFill="1" applyBorder="1"/>
    <xf numFmtId="3" fontId="2" fillId="7" borderId="34" xfId="0" applyNumberFormat="1" applyFont="1" applyFill="1" applyBorder="1"/>
    <xf numFmtId="3" fontId="2" fillId="7" borderId="29" xfId="0" applyNumberFormat="1" applyFont="1" applyFill="1" applyBorder="1"/>
    <xf numFmtId="3" fontId="2" fillId="7" borderId="10" xfId="0" applyNumberFormat="1" applyFont="1" applyFill="1" applyBorder="1"/>
    <xf numFmtId="3" fontId="2" fillId="7" borderId="40" xfId="0" applyNumberFormat="1" applyFont="1" applyFill="1" applyBorder="1"/>
    <xf numFmtId="3" fontId="2" fillId="7" borderId="6" xfId="0" applyNumberFormat="1" applyFont="1" applyFill="1" applyBorder="1"/>
    <xf numFmtId="3" fontId="1" fillId="8" borderId="18" xfId="0" applyNumberFormat="1" applyFont="1" applyFill="1" applyBorder="1" applyAlignment="1">
      <alignment vertical="top" readingOrder="3"/>
    </xf>
    <xf numFmtId="3" fontId="1" fillId="8" borderId="17" xfId="0" applyNumberFormat="1" applyFont="1" applyFill="1" applyBorder="1" applyAlignment="1">
      <alignment vertical="top" readingOrder="3"/>
    </xf>
    <xf numFmtId="3" fontId="2" fillId="3" borderId="5" xfId="0" applyNumberFormat="1" applyFont="1" applyFill="1" applyBorder="1" applyAlignment="1">
      <alignment vertical="top" readingOrder="3"/>
    </xf>
    <xf numFmtId="3" fontId="4" fillId="3" borderId="0" xfId="0" applyNumberFormat="1" applyFont="1" applyFill="1" applyBorder="1" applyAlignment="1">
      <alignment vertical="top" readingOrder="3"/>
    </xf>
    <xf numFmtId="3" fontId="1" fillId="14" borderId="0" xfId="0" applyNumberFormat="1" applyFont="1" applyFill="1" applyBorder="1" applyAlignment="1">
      <alignment vertical="top" readingOrder="3"/>
    </xf>
    <xf numFmtId="3" fontId="4" fillId="3" borderId="39" xfId="0" applyNumberFormat="1" applyFont="1" applyFill="1" applyBorder="1"/>
    <xf numFmtId="3" fontId="4" fillId="3" borderId="0" xfId="0" applyNumberFormat="1" applyFont="1" applyFill="1" applyBorder="1"/>
    <xf numFmtId="3" fontId="4" fillId="7" borderId="42" xfId="0" applyNumberFormat="1" applyFont="1" applyFill="1" applyBorder="1" applyAlignment="1">
      <alignment vertical="top" readingOrder="3"/>
    </xf>
    <xf numFmtId="3" fontId="1" fillId="8" borderId="43" xfId="0" applyNumberFormat="1" applyFont="1" applyFill="1" applyBorder="1" applyAlignment="1">
      <alignment vertical="top" readingOrder="3"/>
    </xf>
    <xf numFmtId="3" fontId="1" fillId="8" borderId="44" xfId="0" applyNumberFormat="1" applyFont="1" applyFill="1" applyBorder="1" applyAlignment="1">
      <alignment vertical="top" readingOrder="3"/>
    </xf>
    <xf numFmtId="3" fontId="2" fillId="3" borderId="29" xfId="0" applyNumberFormat="1" applyFont="1" applyFill="1" applyBorder="1"/>
    <xf numFmtId="3" fontId="2" fillId="3" borderId="12" xfId="0" applyNumberFormat="1" applyFont="1" applyFill="1" applyBorder="1" applyAlignment="1">
      <alignment vertical="top" readingOrder="3"/>
    </xf>
    <xf numFmtId="3" fontId="3" fillId="3" borderId="6" xfId="0" applyNumberFormat="1" applyFont="1" applyFill="1" applyBorder="1" applyAlignment="1">
      <alignment vertical="top" readingOrder="3"/>
    </xf>
    <xf numFmtId="3" fontId="2" fillId="3" borderId="40" xfId="0" applyNumberFormat="1" applyFont="1" applyFill="1" applyBorder="1"/>
    <xf numFmtId="3" fontId="2" fillId="3" borderId="6" xfId="0" applyNumberFormat="1" applyFont="1" applyFill="1" applyBorder="1"/>
    <xf numFmtId="3" fontId="4" fillId="3" borderId="17" xfId="0" applyNumberFormat="1" applyFont="1" applyFill="1" applyBorder="1" applyAlignment="1">
      <alignment vertical="top" readingOrder="3"/>
    </xf>
    <xf numFmtId="3" fontId="1" fillId="8" borderId="0" xfId="0" applyNumberFormat="1" applyFont="1" applyFill="1" applyBorder="1" applyAlignment="1">
      <alignment vertical="top" readingOrder="3"/>
    </xf>
    <xf numFmtId="3" fontId="4" fillId="3" borderId="42" xfId="0" applyNumberFormat="1" applyFont="1" applyFill="1" applyBorder="1" applyAlignment="1">
      <alignment vertical="top" readingOrder="3"/>
    </xf>
    <xf numFmtId="3" fontId="1" fillId="14" borderId="43" xfId="0" applyNumberFormat="1" applyFont="1" applyFill="1" applyBorder="1" applyAlignment="1">
      <alignment vertical="top" readingOrder="3"/>
    </xf>
    <xf numFmtId="3" fontId="2" fillId="7" borderId="14" xfId="0" applyNumberFormat="1" applyFont="1" applyFill="1" applyBorder="1" applyAlignment="1">
      <alignment vertical="top" readingOrder="3"/>
    </xf>
    <xf numFmtId="3" fontId="2" fillId="7" borderId="14" xfId="0" applyNumberFormat="1" applyFont="1" applyFill="1" applyBorder="1"/>
    <xf numFmtId="3" fontId="2" fillId="7" borderId="15" xfId="0" applyNumberFormat="1" applyFont="1" applyFill="1" applyBorder="1"/>
    <xf numFmtId="3" fontId="4" fillId="7" borderId="38" xfId="0" applyNumberFormat="1" applyFont="1" applyFill="1" applyBorder="1" applyAlignment="1">
      <alignment vertical="top" readingOrder="3"/>
    </xf>
    <xf numFmtId="3" fontId="2" fillId="7" borderId="33" xfId="0" applyNumberFormat="1" applyFont="1" applyFill="1" applyBorder="1"/>
    <xf numFmtId="3" fontId="2" fillId="7" borderId="9" xfId="0" applyNumberFormat="1" applyFont="1" applyFill="1" applyBorder="1"/>
    <xf numFmtId="3" fontId="2" fillId="7" borderId="21" xfId="0" applyNumberFormat="1" applyFont="1" applyFill="1" applyBorder="1"/>
    <xf numFmtId="3" fontId="2" fillId="10" borderId="5" xfId="0" applyNumberFormat="1" applyFont="1" applyFill="1" applyBorder="1"/>
    <xf numFmtId="3" fontId="2" fillId="10" borderId="12" xfId="0" applyNumberFormat="1" applyFont="1" applyFill="1" applyBorder="1"/>
    <xf numFmtId="3" fontId="2" fillId="7" borderId="9" xfId="0" applyNumberFormat="1" applyFont="1" applyFill="1" applyBorder="1" applyAlignment="1">
      <alignment vertical="top" readingOrder="3"/>
    </xf>
    <xf numFmtId="3" fontId="2" fillId="10" borderId="25" xfId="0" applyNumberFormat="1" applyFont="1" applyFill="1" applyBorder="1"/>
    <xf numFmtId="3" fontId="2" fillId="10" borderId="26" xfId="0" applyNumberFormat="1" applyFont="1" applyFill="1" applyBorder="1"/>
    <xf numFmtId="3" fontId="4" fillId="10" borderId="17" xfId="0" applyNumberFormat="1" applyFont="1" applyFill="1" applyBorder="1" applyAlignment="1">
      <alignment vertical="top" readingOrder="3"/>
    </xf>
    <xf numFmtId="3" fontId="1" fillId="11" borderId="17" xfId="0" applyNumberFormat="1" applyFont="1" applyFill="1" applyBorder="1" applyAlignment="1">
      <alignment vertical="top" readingOrder="3"/>
    </xf>
    <xf numFmtId="3" fontId="1" fillId="11" borderId="18" xfId="0" applyNumberFormat="1" applyFont="1" applyFill="1" applyBorder="1" applyAlignment="1">
      <alignment vertical="top" readingOrder="3"/>
    </xf>
    <xf numFmtId="3" fontId="2" fillId="10" borderId="34" xfId="0" applyNumberFormat="1" applyFont="1" applyFill="1" applyBorder="1"/>
    <xf numFmtId="3" fontId="2" fillId="10" borderId="29" xfId="0" applyNumberFormat="1" applyFont="1" applyFill="1" applyBorder="1"/>
    <xf numFmtId="3" fontId="2" fillId="10" borderId="12" xfId="0" applyNumberFormat="1" applyFont="1" applyFill="1" applyBorder="1" applyAlignment="1">
      <alignment vertical="top" readingOrder="3"/>
    </xf>
    <xf numFmtId="3" fontId="2" fillId="10" borderId="28" xfId="0" applyNumberFormat="1" applyFont="1" applyFill="1" applyBorder="1"/>
    <xf numFmtId="3" fontId="2" fillId="10" borderId="40" xfId="0" applyNumberFormat="1" applyFont="1" applyFill="1" applyBorder="1"/>
    <xf numFmtId="3" fontId="2" fillId="10" borderId="6" xfId="0" applyNumberFormat="1" applyFont="1" applyFill="1" applyBorder="1"/>
    <xf numFmtId="3" fontId="3" fillId="3" borderId="9" xfId="0" applyNumberFormat="1" applyFont="1" applyFill="1" applyBorder="1" applyAlignment="1">
      <alignment vertical="top" readingOrder="3"/>
    </xf>
    <xf numFmtId="3" fontId="2" fillId="3" borderId="33" xfId="0" applyNumberFormat="1" applyFont="1" applyFill="1" applyBorder="1"/>
    <xf numFmtId="3" fontId="2" fillId="3" borderId="10" xfId="0" applyNumberFormat="1" applyFont="1" applyFill="1" applyBorder="1" applyAlignment="1">
      <alignment vertical="top" readingOrder="3"/>
    </xf>
    <xf numFmtId="3" fontId="1" fillId="14" borderId="17" xfId="0" applyNumberFormat="1" applyFont="1" applyFill="1" applyBorder="1" applyAlignment="1">
      <alignment vertical="top" readingOrder="3"/>
    </xf>
    <xf numFmtId="3" fontId="4" fillId="7" borderId="0" xfId="0" applyNumberFormat="1" applyFont="1" applyFill="1" applyBorder="1" applyAlignment="1">
      <alignment vertical="top" readingOrder="3"/>
    </xf>
    <xf numFmtId="3" fontId="4" fillId="7" borderId="39" xfId="0" applyNumberFormat="1" applyFont="1" applyFill="1" applyBorder="1"/>
    <xf numFmtId="3" fontId="4" fillId="7" borderId="0" xfId="0" applyNumberFormat="1" applyFont="1" applyFill="1" applyBorder="1"/>
    <xf numFmtId="3" fontId="2" fillId="7" borderId="10" xfId="0" applyNumberFormat="1" applyFont="1" applyFill="1" applyBorder="1" applyAlignment="1">
      <alignment vertical="top" readingOrder="3"/>
    </xf>
    <xf numFmtId="3" fontId="2" fillId="7" borderId="12" xfId="0" applyNumberFormat="1" applyFont="1" applyFill="1" applyBorder="1" applyAlignment="1">
      <alignment vertical="top" readingOrder="3"/>
    </xf>
    <xf numFmtId="3" fontId="1" fillId="8" borderId="37" xfId="0" applyNumberFormat="1" applyFont="1" applyFill="1" applyBorder="1" applyAlignment="1">
      <alignment vertical="top" readingOrder="3"/>
    </xf>
    <xf numFmtId="3" fontId="2" fillId="7" borderId="15" xfId="0" applyNumberFormat="1" applyFont="1" applyFill="1" applyBorder="1" applyAlignment="1">
      <alignment vertical="top" readingOrder="3"/>
    </xf>
    <xf numFmtId="3" fontId="2" fillId="10" borderId="24" xfId="0" applyNumberFormat="1" applyFont="1" applyFill="1" applyBorder="1" applyAlignment="1">
      <alignment vertical="top" readingOrder="3"/>
    </xf>
    <xf numFmtId="3" fontId="5" fillId="10" borderId="23" xfId="0" applyNumberFormat="1" applyFont="1" applyFill="1" applyBorder="1" applyAlignment="1">
      <alignment vertical="top" readingOrder="3"/>
    </xf>
    <xf numFmtId="3" fontId="4" fillId="10" borderId="24" xfId="0" applyNumberFormat="1" applyFont="1" applyFill="1" applyBorder="1" applyAlignment="1">
      <alignment vertical="top" readingOrder="3"/>
    </xf>
    <xf numFmtId="3" fontId="1" fillId="11" borderId="23" xfId="0" applyNumberFormat="1" applyFont="1" applyFill="1" applyBorder="1" applyAlignment="1">
      <alignment vertical="top" readingOrder="3"/>
    </xf>
    <xf numFmtId="3" fontId="2" fillId="16" borderId="24" xfId="0" applyNumberFormat="1" applyFont="1" applyFill="1" applyBorder="1"/>
    <xf numFmtId="3" fontId="1" fillId="15" borderId="17" xfId="0" applyNumberFormat="1" applyFont="1" applyFill="1" applyBorder="1" applyAlignment="1">
      <alignment vertical="top" readingOrder="3"/>
    </xf>
    <xf numFmtId="3" fontId="1" fillId="5" borderId="18" xfId="0" applyNumberFormat="1" applyFont="1" applyFill="1" applyBorder="1" applyAlignment="1">
      <alignment vertical="top" readingOrder="3"/>
    </xf>
    <xf numFmtId="3" fontId="4" fillId="5" borderId="17" xfId="0" applyNumberFormat="1" applyFont="1" applyFill="1" applyBorder="1"/>
    <xf numFmtId="3" fontId="4" fillId="5" borderId="18" xfId="0" applyNumberFormat="1" applyFont="1" applyFill="1" applyBorder="1"/>
    <xf numFmtId="3" fontId="10" fillId="0" borderId="0" xfId="0" applyNumberFormat="1" applyFont="1"/>
    <xf numFmtId="3" fontId="10" fillId="0" borderId="0" xfId="0" applyNumberFormat="1" applyFont="1" applyAlignment="1">
      <alignment vertical="top" readingOrder="3"/>
    </xf>
    <xf numFmtId="3" fontId="4" fillId="0" borderId="0" xfId="0" applyNumberFormat="1" applyFont="1" applyAlignment="1">
      <alignment vertical="top" readingOrder="3"/>
    </xf>
    <xf numFmtId="3" fontId="1" fillId="5" borderId="24" xfId="0" applyNumberFormat="1" applyFont="1" applyFill="1" applyBorder="1" applyAlignment="1">
      <alignment vertical="top" readingOrder="3"/>
    </xf>
    <xf numFmtId="3" fontId="1" fillId="5" borderId="7" xfId="0" applyNumberFormat="1" applyFont="1" applyFill="1" applyBorder="1" applyAlignment="1">
      <alignment vertical="top" readingOrder="3"/>
    </xf>
    <xf numFmtId="3" fontId="4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6" borderId="9" xfId="0" applyNumberFormat="1" applyFont="1" applyFill="1" applyBorder="1" applyAlignment="1">
      <alignment vertical="top" readingOrder="3"/>
    </xf>
    <xf numFmtId="3" fontId="2" fillId="6" borderId="33" xfId="0" applyNumberFormat="1" applyFont="1" applyFill="1" applyBorder="1"/>
    <xf numFmtId="3" fontId="2" fillId="6" borderId="9" xfId="0" applyNumberFormat="1" applyFont="1" applyFill="1" applyBorder="1"/>
    <xf numFmtId="3" fontId="2" fillId="6" borderId="21" xfId="0" applyNumberFormat="1" applyFont="1" applyFill="1" applyBorder="1"/>
    <xf numFmtId="3" fontId="2" fillId="6" borderId="14" xfId="0" applyNumberFormat="1" applyFont="1" applyFill="1" applyBorder="1"/>
    <xf numFmtId="3" fontId="2" fillId="6" borderId="15" xfId="0" applyNumberFormat="1" applyFont="1" applyFill="1" applyBorder="1"/>
    <xf numFmtId="3" fontId="4" fillId="5" borderId="27" xfId="0" applyNumberFormat="1" applyFont="1" applyFill="1" applyBorder="1"/>
    <xf numFmtId="3" fontId="1" fillId="11" borderId="2" xfId="0" applyNumberFormat="1" applyFont="1" applyFill="1" applyBorder="1" applyAlignment="1">
      <alignment vertical="top" readingOrder="3"/>
    </xf>
    <xf numFmtId="3" fontId="2" fillId="15" borderId="31" xfId="0" applyNumberFormat="1" applyFont="1" applyFill="1" applyBorder="1"/>
    <xf numFmtId="3" fontId="1" fillId="11" borderId="43" xfId="0" applyNumberFormat="1" applyFont="1" applyFill="1" applyBorder="1" applyAlignment="1">
      <alignment vertical="top" readingOrder="3"/>
    </xf>
    <xf numFmtId="3" fontId="2" fillId="15" borderId="37" xfId="0" applyNumberFormat="1" applyFont="1" applyFill="1" applyBorder="1"/>
    <xf numFmtId="3" fontId="2" fillId="15" borderId="36" xfId="0" applyNumberFormat="1" applyFont="1" applyFill="1" applyBorder="1"/>
    <xf numFmtId="3" fontId="5" fillId="10" borderId="7" xfId="0" applyNumberFormat="1" applyFont="1" applyFill="1" applyBorder="1" applyAlignment="1">
      <alignment vertical="top" readingOrder="3"/>
    </xf>
    <xf numFmtId="3" fontId="5" fillId="10" borderId="17" xfId="0" applyNumberFormat="1" applyFont="1" applyFill="1" applyBorder="1" applyAlignment="1">
      <alignment vertical="top" readingOrder="3"/>
    </xf>
    <xf numFmtId="3" fontId="5" fillId="10" borderId="18" xfId="0" applyNumberFormat="1" applyFont="1" applyFill="1" applyBorder="1" applyAlignment="1">
      <alignment vertical="top" readingOrder="3"/>
    </xf>
    <xf numFmtId="3" fontId="2" fillId="0" borderId="5" xfId="0" applyNumberFormat="1" applyFont="1" applyBorder="1" applyAlignment="1">
      <alignment wrapText="1"/>
    </xf>
    <xf numFmtId="3" fontId="2" fillId="0" borderId="5" xfId="0" applyNumberFormat="1" applyFont="1" applyBorder="1"/>
    <xf numFmtId="3" fontId="5" fillId="11" borderId="12" xfId="0" applyNumberFormat="1" applyFont="1" applyFill="1" applyBorder="1" applyAlignment="1">
      <alignment vertical="top" readingOrder="3"/>
    </xf>
    <xf numFmtId="3" fontId="5" fillId="11" borderId="10" xfId="0" applyNumberFormat="1" applyFont="1" applyFill="1" applyBorder="1" applyAlignment="1">
      <alignment vertical="top" readingOrder="3"/>
    </xf>
    <xf numFmtId="3" fontId="4" fillId="15" borderId="23" xfId="0" applyNumberFormat="1" applyFont="1" applyFill="1" applyBorder="1" applyAlignment="1">
      <alignment vertical="top" readingOrder="3"/>
    </xf>
    <xf numFmtId="3" fontId="1" fillId="16" borderId="23" xfId="0" applyNumberFormat="1" applyFont="1" applyFill="1" applyBorder="1" applyAlignment="1">
      <alignment vertical="top" readingOrder="3"/>
    </xf>
    <xf numFmtId="3" fontId="4" fillId="15" borderId="23" xfId="0" applyNumberFormat="1" applyFont="1" applyFill="1" applyBorder="1"/>
    <xf numFmtId="3" fontId="4" fillId="15" borderId="27" xfId="0" applyNumberFormat="1" applyFont="1" applyFill="1" applyBorder="1"/>
    <xf numFmtId="3" fontId="2" fillId="10" borderId="25" xfId="0" applyNumberFormat="1" applyFont="1" applyFill="1" applyBorder="1" applyAlignment="1">
      <alignment vertical="top" readingOrder="3"/>
    </xf>
    <xf numFmtId="3" fontId="5" fillId="11" borderId="5" xfId="0" applyNumberFormat="1" applyFont="1" applyFill="1" applyBorder="1" applyAlignment="1">
      <alignment vertical="top" readingOrder="3"/>
    </xf>
    <xf numFmtId="3" fontId="2" fillId="10" borderId="47" xfId="0" applyNumberFormat="1" applyFont="1" applyFill="1" applyBorder="1" applyAlignment="1">
      <alignment vertical="top" readingOrder="3"/>
    </xf>
    <xf numFmtId="3" fontId="3" fillId="17" borderId="5" xfId="0" applyNumberFormat="1" applyFont="1" applyFill="1" applyBorder="1" applyAlignment="1">
      <alignment vertical="top" wrapText="1"/>
    </xf>
    <xf numFmtId="3" fontId="2" fillId="17" borderId="12" xfId="0" applyNumberFormat="1" applyFont="1" applyFill="1" applyBorder="1" applyAlignment="1">
      <alignment vertical="top" readingOrder="3"/>
    </xf>
    <xf numFmtId="3" fontId="2" fillId="17" borderId="29" xfId="0" applyNumberFormat="1" applyFont="1" applyFill="1" applyBorder="1"/>
    <xf numFmtId="3" fontId="2" fillId="17" borderId="5" xfId="0" applyNumberFormat="1" applyFont="1" applyFill="1" applyBorder="1"/>
    <xf numFmtId="3" fontId="2" fillId="17" borderId="25" xfId="0" applyNumberFormat="1" applyFont="1" applyFill="1" applyBorder="1"/>
    <xf numFmtId="3" fontId="2" fillId="17" borderId="12" xfId="0" applyNumberFormat="1" applyFont="1" applyFill="1" applyBorder="1"/>
    <xf numFmtId="3" fontId="3" fillId="17" borderId="5" xfId="0" applyNumberFormat="1" applyFont="1" applyFill="1" applyBorder="1" applyAlignment="1">
      <alignment vertical="top" readingOrder="3"/>
    </xf>
    <xf numFmtId="3" fontId="3" fillId="17" borderId="6" xfId="0" applyNumberFormat="1" applyFont="1" applyFill="1" applyBorder="1" applyAlignment="1">
      <alignment vertical="top" readingOrder="3"/>
    </xf>
    <xf numFmtId="3" fontId="2" fillId="17" borderId="5" xfId="0" applyNumberFormat="1" applyFont="1" applyFill="1" applyBorder="1" applyAlignment="1">
      <alignment vertical="top" readingOrder="3"/>
    </xf>
    <xf numFmtId="3" fontId="5" fillId="11" borderId="29" xfId="0" applyNumberFormat="1" applyFont="1" applyFill="1" applyBorder="1" applyAlignment="1">
      <alignment vertical="top" readingOrder="3"/>
    </xf>
    <xf numFmtId="44" fontId="0" fillId="0" borderId="0" xfId="1" applyFont="1"/>
    <xf numFmtId="44" fontId="0" fillId="0" borderId="0" xfId="1" applyFont="1" applyAlignment="1">
      <alignment wrapText="1"/>
    </xf>
    <xf numFmtId="0" fontId="14" fillId="0" borderId="0" xfId="0" applyFont="1"/>
    <xf numFmtId="44" fontId="14" fillId="0" borderId="0" xfId="1" applyFont="1"/>
    <xf numFmtId="44" fontId="14" fillId="0" borderId="0" xfId="1" applyFont="1" applyAlignment="1">
      <alignment wrapText="1"/>
    </xf>
    <xf numFmtId="3" fontId="2" fillId="18" borderId="9" xfId="0" applyNumberFormat="1" applyFont="1" applyFill="1" applyBorder="1"/>
    <xf numFmtId="3" fontId="2" fillId="18" borderId="10" xfId="0" applyNumberFormat="1" applyFont="1" applyFill="1" applyBorder="1"/>
    <xf numFmtId="3" fontId="2" fillId="18" borderId="25" xfId="0" applyNumberFormat="1" applyFont="1" applyFill="1" applyBorder="1"/>
    <xf numFmtId="3" fontId="2" fillId="18" borderId="26" xfId="0" applyNumberFormat="1" applyFont="1" applyFill="1" applyBorder="1"/>
    <xf numFmtId="3" fontId="2" fillId="18" borderId="5" xfId="0" applyNumberFormat="1" applyFont="1" applyFill="1" applyBorder="1"/>
    <xf numFmtId="3" fontId="2" fillId="18" borderId="12" xfId="0" applyNumberFormat="1" applyFont="1" applyFill="1" applyBorder="1"/>
    <xf numFmtId="3" fontId="2" fillId="18" borderId="14" xfId="0" applyNumberFormat="1" applyFont="1" applyFill="1" applyBorder="1"/>
    <xf numFmtId="3" fontId="2" fillId="18" borderId="15" xfId="0" applyNumberFormat="1" applyFont="1" applyFill="1" applyBorder="1"/>
    <xf numFmtId="3" fontId="4" fillId="0" borderId="0" xfId="0" applyNumberFormat="1" applyFont="1" applyFill="1"/>
    <xf numFmtId="3" fontId="2" fillId="0" borderId="5" xfId="0" applyNumberFormat="1" applyFont="1" applyFill="1" applyBorder="1"/>
    <xf numFmtId="3" fontId="2" fillId="6" borderId="10" xfId="0" applyNumberFormat="1" applyFont="1" applyFill="1" applyBorder="1"/>
    <xf numFmtId="3" fontId="3" fillId="10" borderId="14" xfId="0" applyNumberFormat="1" applyFont="1" applyFill="1" applyBorder="1" applyAlignment="1">
      <alignment vertical="top" readingOrder="3"/>
    </xf>
    <xf numFmtId="3" fontId="2" fillId="10" borderId="21" xfId="0" applyNumberFormat="1" applyFont="1" applyFill="1" applyBorder="1"/>
    <xf numFmtId="3" fontId="2" fillId="10" borderId="14" xfId="0" applyNumberFormat="1" applyFont="1" applyFill="1" applyBorder="1"/>
    <xf numFmtId="3" fontId="2" fillId="10" borderId="38" xfId="0" applyNumberFormat="1" applyFont="1" applyFill="1" applyBorder="1"/>
    <xf numFmtId="3" fontId="2" fillId="10" borderId="15" xfId="0" applyNumberFormat="1" applyFont="1" applyFill="1" applyBorder="1"/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2" fillId="18" borderId="8" xfId="0" applyNumberFormat="1" applyFont="1" applyFill="1" applyBorder="1" applyAlignment="1">
      <alignment horizontal="left"/>
    </xf>
    <xf numFmtId="3" fontId="2" fillId="18" borderId="45" xfId="0" applyNumberFormat="1" applyFont="1" applyFill="1" applyBorder="1" applyAlignment="1">
      <alignment horizontal="left"/>
    </xf>
    <xf numFmtId="3" fontId="2" fillId="18" borderId="11" xfId="0" applyNumberFormat="1" applyFont="1" applyFill="1" applyBorder="1" applyAlignment="1">
      <alignment horizontal="left"/>
    </xf>
    <xf numFmtId="3" fontId="2" fillId="18" borderId="13" xfId="0" applyNumberFormat="1" applyFont="1" applyFill="1" applyBorder="1" applyAlignment="1">
      <alignment horizontal="left"/>
    </xf>
    <xf numFmtId="3" fontId="4" fillId="5" borderId="16" xfId="0" applyNumberFormat="1" applyFont="1" applyFill="1" applyBorder="1" applyAlignment="1">
      <alignment horizontal="left"/>
    </xf>
    <xf numFmtId="3" fontId="10" fillId="0" borderId="0" xfId="0" applyNumberFormat="1" applyFont="1" applyAlignment="1">
      <alignment horizontal="left" vertical="top" readingOrder="3"/>
    </xf>
    <xf numFmtId="3" fontId="2" fillId="2" borderId="1" xfId="0" applyNumberFormat="1" applyFont="1" applyFill="1" applyBorder="1" applyAlignment="1">
      <alignment horizontal="left" vertical="top" readingOrder="3"/>
    </xf>
    <xf numFmtId="3" fontId="2" fillId="2" borderId="30" xfId="0" applyNumberFormat="1" applyFont="1" applyFill="1" applyBorder="1" applyAlignment="1">
      <alignment horizontal="left" vertical="top" readingOrder="3"/>
    </xf>
    <xf numFmtId="3" fontId="4" fillId="6" borderId="16" xfId="0" applyNumberFormat="1" applyFont="1" applyFill="1" applyBorder="1" applyAlignment="1">
      <alignment horizontal="left" vertical="top" readingOrder="3"/>
    </xf>
    <xf numFmtId="3" fontId="2" fillId="6" borderId="8" xfId="0" applyNumberFormat="1" applyFont="1" applyFill="1" applyBorder="1" applyAlignment="1">
      <alignment horizontal="left" vertical="top" readingOrder="3"/>
    </xf>
    <xf numFmtId="3" fontId="2" fillId="6" borderId="11" xfId="0" applyNumberFormat="1" applyFont="1" applyFill="1" applyBorder="1" applyAlignment="1">
      <alignment horizontal="left" vertical="top" readingOrder="3"/>
    </xf>
    <xf numFmtId="3" fontId="2" fillId="6" borderId="13" xfId="0" applyNumberFormat="1" applyFont="1" applyFill="1" applyBorder="1" applyAlignment="1">
      <alignment horizontal="left" vertical="top" readingOrder="3"/>
    </xf>
    <xf numFmtId="3" fontId="4" fillId="12" borderId="3" xfId="0" applyNumberFormat="1" applyFont="1" applyFill="1" applyBorder="1" applyAlignment="1">
      <alignment horizontal="left" vertical="top" readingOrder="3"/>
    </xf>
    <xf numFmtId="3" fontId="2" fillId="12" borderId="8" xfId="0" applyNumberFormat="1" applyFont="1" applyFill="1" applyBorder="1" applyAlignment="1">
      <alignment horizontal="left" vertical="top" readingOrder="3"/>
    </xf>
    <xf numFmtId="3" fontId="2" fillId="12" borderId="11" xfId="0" applyNumberFormat="1" applyFont="1" applyFill="1" applyBorder="1" applyAlignment="1">
      <alignment horizontal="left" vertical="top" readingOrder="3"/>
    </xf>
    <xf numFmtId="3" fontId="2" fillId="12" borderId="19" xfId="0" applyNumberFormat="1" applyFont="1" applyFill="1" applyBorder="1" applyAlignment="1">
      <alignment horizontal="left" vertical="top" readingOrder="3"/>
    </xf>
    <xf numFmtId="3" fontId="4" fillId="12" borderId="41" xfId="0" applyNumberFormat="1" applyFont="1" applyFill="1" applyBorder="1" applyAlignment="1">
      <alignment horizontal="left" vertical="top" readingOrder="3"/>
    </xf>
    <xf numFmtId="3" fontId="4" fillId="7" borderId="16" xfId="0" applyNumberFormat="1" applyFont="1" applyFill="1" applyBorder="1" applyAlignment="1">
      <alignment horizontal="left" vertical="top" readingOrder="3"/>
    </xf>
    <xf numFmtId="3" fontId="2" fillId="7" borderId="8" xfId="0" applyNumberFormat="1" applyFont="1" applyFill="1" applyBorder="1" applyAlignment="1">
      <alignment horizontal="left" vertical="top" readingOrder="3"/>
    </xf>
    <xf numFmtId="3" fontId="2" fillId="7" borderId="11" xfId="0" applyNumberFormat="1" applyFont="1" applyFill="1" applyBorder="1" applyAlignment="1">
      <alignment horizontal="left" vertical="top" readingOrder="3"/>
    </xf>
    <xf numFmtId="3" fontId="2" fillId="7" borderId="19" xfId="0" applyNumberFormat="1" applyFont="1" applyFill="1" applyBorder="1" applyAlignment="1">
      <alignment horizontal="left" vertical="top" readingOrder="3"/>
    </xf>
    <xf numFmtId="3" fontId="4" fillId="7" borderId="41" xfId="0" applyNumberFormat="1" applyFont="1" applyFill="1" applyBorder="1" applyAlignment="1">
      <alignment horizontal="left" vertical="top" readingOrder="3"/>
    </xf>
    <xf numFmtId="3" fontId="4" fillId="15" borderId="20" xfId="0" applyNumberFormat="1" applyFont="1" applyFill="1" applyBorder="1" applyAlignment="1">
      <alignment horizontal="left" vertical="top" readingOrder="3"/>
    </xf>
    <xf numFmtId="3" fontId="2" fillId="10" borderId="11" xfId="0" applyNumberFormat="1" applyFont="1" applyFill="1" applyBorder="1" applyAlignment="1">
      <alignment horizontal="left" vertical="top" readingOrder="3"/>
    </xf>
    <xf numFmtId="3" fontId="2" fillId="3" borderId="11" xfId="0" applyNumberFormat="1" applyFont="1" applyFill="1" applyBorder="1" applyAlignment="1">
      <alignment horizontal="left" vertical="top" readingOrder="3"/>
    </xf>
    <xf numFmtId="3" fontId="2" fillId="3" borderId="19" xfId="0" applyNumberFormat="1" applyFont="1" applyFill="1" applyBorder="1" applyAlignment="1">
      <alignment horizontal="left" vertical="top" readingOrder="3"/>
    </xf>
    <xf numFmtId="3" fontId="4" fillId="3" borderId="41" xfId="0" applyNumberFormat="1" applyFont="1" applyFill="1" applyBorder="1" applyAlignment="1">
      <alignment horizontal="left" vertical="top" readingOrder="3"/>
    </xf>
    <xf numFmtId="3" fontId="2" fillId="7" borderId="13" xfId="0" applyNumberFormat="1" applyFont="1" applyFill="1" applyBorder="1" applyAlignment="1">
      <alignment horizontal="left" vertical="top" readingOrder="3"/>
    </xf>
    <xf numFmtId="3" fontId="4" fillId="10" borderId="16" xfId="0" applyNumberFormat="1" applyFont="1" applyFill="1" applyBorder="1" applyAlignment="1">
      <alignment horizontal="left" vertical="top" readingOrder="3"/>
    </xf>
    <xf numFmtId="3" fontId="2" fillId="10" borderId="8" xfId="0" applyNumberFormat="1" applyFont="1" applyFill="1" applyBorder="1" applyAlignment="1">
      <alignment horizontal="left" vertical="top" readingOrder="3"/>
    </xf>
    <xf numFmtId="3" fontId="2" fillId="10" borderId="46" xfId="0" applyNumberFormat="1" applyFont="1" applyFill="1" applyBorder="1" applyAlignment="1">
      <alignment horizontal="left" vertical="top" readingOrder="3"/>
    </xf>
    <xf numFmtId="3" fontId="2" fillId="10" borderId="45" xfId="0" applyNumberFormat="1" applyFont="1" applyFill="1" applyBorder="1" applyAlignment="1">
      <alignment horizontal="left" vertical="top" readingOrder="3"/>
    </xf>
    <xf numFmtId="3" fontId="2" fillId="10" borderId="19" xfId="0" applyNumberFormat="1" applyFont="1" applyFill="1" applyBorder="1" applyAlignment="1">
      <alignment horizontal="left" vertical="top" readingOrder="3"/>
    </xf>
    <xf numFmtId="3" fontId="2" fillId="17" borderId="11" xfId="0" applyNumberFormat="1" applyFont="1" applyFill="1" applyBorder="1" applyAlignment="1">
      <alignment horizontal="left" vertical="top" readingOrder="3"/>
    </xf>
    <xf numFmtId="3" fontId="2" fillId="10" borderId="13" xfId="0" applyNumberFormat="1" applyFont="1" applyFill="1" applyBorder="1" applyAlignment="1">
      <alignment horizontal="left" vertical="top" readingOrder="3"/>
    </xf>
    <xf numFmtId="3" fontId="4" fillId="3" borderId="3" xfId="0" applyNumberFormat="1" applyFont="1" applyFill="1" applyBorder="1" applyAlignment="1">
      <alignment horizontal="left" vertical="top" readingOrder="3"/>
    </xf>
    <xf numFmtId="3" fontId="2" fillId="3" borderId="8" xfId="0" applyNumberFormat="1" applyFont="1" applyFill="1" applyBorder="1" applyAlignment="1">
      <alignment horizontal="left" vertical="top" readingOrder="3"/>
    </xf>
    <xf numFmtId="3" fontId="4" fillId="3" borderId="16" xfId="0" applyNumberFormat="1" applyFont="1" applyFill="1" applyBorder="1" applyAlignment="1">
      <alignment horizontal="left" vertical="top" readingOrder="3"/>
    </xf>
    <xf numFmtId="3" fontId="4" fillId="7" borderId="3" xfId="0" applyNumberFormat="1" applyFont="1" applyFill="1" applyBorder="1" applyAlignment="1">
      <alignment horizontal="left" vertical="top" readingOrder="3"/>
    </xf>
    <xf numFmtId="3" fontId="4" fillId="7" borderId="36" xfId="0" applyNumberFormat="1" applyFont="1" applyFill="1" applyBorder="1" applyAlignment="1">
      <alignment horizontal="left" vertical="top" readingOrder="3"/>
    </xf>
    <xf numFmtId="3" fontId="2" fillId="10" borderId="16" xfId="0" applyNumberFormat="1" applyFont="1" applyFill="1" applyBorder="1" applyAlignment="1">
      <alignment horizontal="left" vertical="top" readingOrder="3"/>
    </xf>
    <xf numFmtId="3" fontId="2" fillId="15" borderId="16" xfId="0" applyNumberFormat="1" applyFont="1" applyFill="1" applyBorder="1" applyAlignment="1">
      <alignment horizontal="left" vertical="top" readingOrder="3"/>
    </xf>
    <xf numFmtId="3" fontId="2" fillId="0" borderId="0" xfId="0" applyNumberFormat="1" applyFont="1" applyAlignment="1">
      <alignment horizontal="left"/>
    </xf>
    <xf numFmtId="3" fontId="1" fillId="5" borderId="16" xfId="0" applyNumberFormat="1" applyFont="1" applyFill="1" applyBorder="1" applyAlignment="1">
      <alignment horizontal="left" vertical="top" readingOrder="3"/>
    </xf>
    <xf numFmtId="3" fontId="4" fillId="5" borderId="20" xfId="0" applyNumberFormat="1" applyFont="1" applyFill="1" applyBorder="1" applyAlignment="1">
      <alignment horizontal="left"/>
    </xf>
    <xf numFmtId="3" fontId="1" fillId="8" borderId="22" xfId="0" applyNumberFormat="1" applyFont="1" applyFill="1" applyBorder="1" applyAlignment="1">
      <alignment vertical="top" readingOrder="3"/>
    </xf>
    <xf numFmtId="3" fontId="1" fillId="14" borderId="18" xfId="0" applyNumberFormat="1" applyFont="1" applyFill="1" applyBorder="1" applyAlignment="1">
      <alignment vertical="top" readingOrder="3"/>
    </xf>
    <xf numFmtId="3" fontId="5" fillId="11" borderId="25" xfId="0" applyNumberFormat="1" applyFont="1" applyFill="1" applyBorder="1" applyAlignment="1">
      <alignment vertical="top" readingOrder="3"/>
    </xf>
    <xf numFmtId="3" fontId="5" fillId="11" borderId="26" xfId="0" applyNumberFormat="1" applyFont="1" applyFill="1" applyBorder="1" applyAlignment="1">
      <alignment vertical="top" readingOrder="3"/>
    </xf>
    <xf numFmtId="3" fontId="5" fillId="11" borderId="34" xfId="0" applyNumberFormat="1" applyFont="1" applyFill="1" applyBorder="1" applyAlignment="1">
      <alignment vertical="top" readingOrder="3"/>
    </xf>
    <xf numFmtId="0" fontId="0" fillId="0" borderId="48" xfId="0" applyBorder="1"/>
    <xf numFmtId="44" fontId="0" fillId="0" borderId="29" xfId="1" applyFont="1" applyBorder="1"/>
    <xf numFmtId="44" fontId="14" fillId="0" borderId="29" xfId="1" applyFont="1" applyBorder="1"/>
    <xf numFmtId="44" fontId="14" fillId="0" borderId="0" xfId="0" applyNumberFormat="1" applyFont="1"/>
    <xf numFmtId="44" fontId="0" fillId="0" borderId="0" xfId="1" applyFont="1" applyFill="1" applyAlignment="1">
      <alignment wrapText="1"/>
    </xf>
    <xf numFmtId="0" fontId="0" fillId="0" borderId="0" xfId="0" applyFill="1"/>
    <xf numFmtId="0" fontId="0" fillId="0" borderId="0" xfId="0" applyBorder="1"/>
    <xf numFmtId="44" fontId="0" fillId="0" borderId="0" xfId="1" applyFont="1" applyBorder="1"/>
    <xf numFmtId="44" fontId="0" fillId="0" borderId="0" xfId="0" applyNumberFormat="1"/>
    <xf numFmtId="3" fontId="8" fillId="4" borderId="4" xfId="0" applyNumberFormat="1" applyFont="1" applyFill="1" applyBorder="1" applyAlignment="1">
      <alignment horizontal="center" vertical="top" wrapText="1"/>
    </xf>
    <xf numFmtId="3" fontId="8" fillId="4" borderId="32" xfId="0" applyNumberFormat="1" applyFont="1" applyFill="1" applyBorder="1" applyAlignment="1">
      <alignment horizontal="center" vertical="top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38DE8-045D-4621-BE4D-081B05D34037}">
  <dimension ref="A1:V143"/>
  <sheetViews>
    <sheetView tabSelected="1" zoomScale="98" zoomScaleNormal="98" workbookViewId="0">
      <pane ySplit="10" topLeftCell="A11" activePane="bottomLeft" state="frozen"/>
      <selection pane="bottomLeft" activeCell="D9" sqref="D9"/>
    </sheetView>
  </sheetViews>
  <sheetFormatPr defaultColWidth="8.88671875" defaultRowHeight="13.8" x14ac:dyDescent="0.25"/>
  <cols>
    <col min="1" max="1" width="4.88671875" style="245" customWidth="1"/>
    <col min="2" max="2" width="49.33203125" style="1" customWidth="1"/>
    <col min="3" max="3" width="11.6640625" style="1" customWidth="1"/>
    <col min="4" max="10" width="8.6640625" style="1" customWidth="1"/>
    <col min="11" max="11" width="9.6640625" style="1" customWidth="1"/>
    <col min="12" max="12" width="8.88671875" style="1"/>
    <col min="13" max="13" width="11.33203125" style="142" hidden="1" customWidth="1"/>
    <col min="14" max="14" width="10.88671875" style="1" hidden="1" customWidth="1"/>
    <col min="15" max="15" width="11.6640625" style="1" hidden="1" customWidth="1"/>
    <col min="16" max="16" width="11.33203125" style="1" hidden="1" customWidth="1"/>
    <col min="17" max="17" width="12.6640625" style="1" hidden="1" customWidth="1"/>
    <col min="18" max="18" width="9.88671875" style="1" hidden="1" customWidth="1"/>
    <col min="19" max="19" width="15" style="1" hidden="1" customWidth="1"/>
    <col min="20" max="21" width="8.33203125" style="1" hidden="1" customWidth="1"/>
    <col min="22" max="23" width="0" style="1" hidden="1" customWidth="1"/>
    <col min="24" max="16384" width="8.88671875" style="1"/>
  </cols>
  <sheetData>
    <row r="1" spans="1:22" s="40" customFormat="1" ht="28.2" x14ac:dyDescent="0.3">
      <c r="A1" s="201" t="s">
        <v>65</v>
      </c>
      <c r="M1" s="141" t="s">
        <v>66</v>
      </c>
    </row>
    <row r="2" spans="1:22" s="40" customFormat="1" ht="14.4" thickBot="1" x14ac:dyDescent="0.3">
      <c r="A2" s="202" t="s">
        <v>63</v>
      </c>
      <c r="C2" s="137" t="s">
        <v>44</v>
      </c>
      <c r="D2" s="40" t="s">
        <v>45</v>
      </c>
      <c r="M2" s="141"/>
      <c r="N2" s="40" t="s">
        <v>102</v>
      </c>
      <c r="O2" s="40" t="s">
        <v>103</v>
      </c>
      <c r="P2" s="40" t="s">
        <v>104</v>
      </c>
      <c r="Q2" s="40" t="s">
        <v>105</v>
      </c>
      <c r="R2" s="40" t="s">
        <v>101</v>
      </c>
      <c r="S2" s="193" t="s">
        <v>164</v>
      </c>
      <c r="T2" s="40" t="s">
        <v>121</v>
      </c>
      <c r="U2" s="40" t="s">
        <v>122</v>
      </c>
    </row>
    <row r="3" spans="1:22" ht="41.4" x14ac:dyDescent="0.25">
      <c r="A3" s="203"/>
      <c r="B3" s="185" t="s">
        <v>145</v>
      </c>
      <c r="C3" s="186">
        <f>Príjem_2022!C30</f>
        <v>1898501</v>
      </c>
      <c r="D3" s="1" t="s">
        <v>45</v>
      </c>
      <c r="M3" s="142" t="s">
        <v>113</v>
      </c>
      <c r="N3" s="1">
        <f>0.15*(C3-R3)</f>
        <v>263025.14999999997</v>
      </c>
      <c r="O3" s="1">
        <f>0.2*(C3-R3)</f>
        <v>350700.2</v>
      </c>
      <c r="P3" s="1">
        <f>C3-N3-O3-Q3-R3</f>
        <v>789075.45000000019</v>
      </c>
      <c r="Q3" s="1">
        <f>0.2*(C3-R3)</f>
        <v>350700.2</v>
      </c>
      <c r="R3" s="1">
        <v>145000</v>
      </c>
      <c r="S3" s="34">
        <v>83750</v>
      </c>
      <c r="T3" s="1">
        <v>0</v>
      </c>
      <c r="U3" s="1">
        <v>0</v>
      </c>
    </row>
    <row r="4" spans="1:22" x14ac:dyDescent="0.25">
      <c r="A4" s="204"/>
      <c r="B4" s="187" t="s">
        <v>146</v>
      </c>
      <c r="C4" s="188">
        <f>Príjem_2022!C33</f>
        <v>95907</v>
      </c>
      <c r="D4" s="1" t="s">
        <v>45</v>
      </c>
      <c r="M4" s="142" t="s">
        <v>106</v>
      </c>
      <c r="N4" s="1">
        <f>D140</f>
        <v>285000</v>
      </c>
      <c r="O4" s="1">
        <f>E140</f>
        <v>606500</v>
      </c>
      <c r="P4" s="1">
        <f>F140</f>
        <v>625443.33333333337</v>
      </c>
      <c r="Q4" s="1">
        <f>G140</f>
        <v>418513.3998613999</v>
      </c>
      <c r="R4" s="1">
        <f>H140</f>
        <v>147333.33333333334</v>
      </c>
      <c r="S4" s="34">
        <v>83750</v>
      </c>
      <c r="T4" s="1">
        <f>C5</f>
        <v>284845</v>
      </c>
      <c r="U4" s="1">
        <f>C6</f>
        <v>157195</v>
      </c>
    </row>
    <row r="5" spans="1:22" x14ac:dyDescent="0.25">
      <c r="A5" s="205"/>
      <c r="B5" s="189" t="s">
        <v>67</v>
      </c>
      <c r="C5" s="190">
        <f>Príjem_2022!C2</f>
        <v>284845</v>
      </c>
      <c r="D5" s="1" t="s">
        <v>45</v>
      </c>
      <c r="M5" s="159" t="s">
        <v>107</v>
      </c>
      <c r="N5" s="160">
        <f t="shared" ref="N5:S5" si="0">N3-N4</f>
        <v>-21974.850000000035</v>
      </c>
      <c r="O5" s="160">
        <f t="shared" si="0"/>
        <v>-255799.8</v>
      </c>
      <c r="P5" s="160">
        <f t="shared" si="0"/>
        <v>163632.11666666681</v>
      </c>
      <c r="Q5" s="160">
        <f t="shared" si="0"/>
        <v>-67813.199861399888</v>
      </c>
      <c r="R5" s="160">
        <f t="shared" si="0"/>
        <v>-2333.333333333343</v>
      </c>
      <c r="S5" s="194">
        <f t="shared" si="0"/>
        <v>0</v>
      </c>
      <c r="T5" s="160">
        <f>T4-J140</f>
        <v>179612.1171171171</v>
      </c>
      <c r="U5" s="160">
        <f>C6-K140</f>
        <v>79605.949410949412</v>
      </c>
    </row>
    <row r="6" spans="1:22" ht="14.4" thickBot="1" x14ac:dyDescent="0.3">
      <c r="A6" s="206"/>
      <c r="B6" s="191" t="s">
        <v>68</v>
      </c>
      <c r="C6" s="192">
        <f>Príjem_2022!G2</f>
        <v>157195</v>
      </c>
      <c r="D6" s="1" t="s">
        <v>45</v>
      </c>
      <c r="M6" s="141"/>
      <c r="N6" s="40"/>
      <c r="O6" s="40"/>
      <c r="P6" s="40"/>
      <c r="Q6" s="40"/>
      <c r="R6" s="40"/>
      <c r="S6" s="40"/>
      <c r="T6" s="40"/>
      <c r="U6" s="40"/>
      <c r="V6" s="40"/>
    </row>
    <row r="7" spans="1:22" s="40" customFormat="1" ht="14.4" thickBot="1" x14ac:dyDescent="0.3">
      <c r="A7" s="207" t="s">
        <v>69</v>
      </c>
      <c r="B7" s="134"/>
      <c r="C7" s="135">
        <f>C3+C4+C5+C6</f>
        <v>2436448</v>
      </c>
      <c r="D7" s="40" t="s">
        <v>45</v>
      </c>
      <c r="M7" s="141"/>
    </row>
    <row r="8" spans="1:22" s="40" customFormat="1" ht="14.4" thickBot="1" x14ac:dyDescent="0.3">
      <c r="A8" s="208" t="s">
        <v>64</v>
      </c>
      <c r="B8" s="138"/>
      <c r="C8" s="136" t="s">
        <v>44</v>
      </c>
      <c r="J8" s="137" t="s">
        <v>45</v>
      </c>
      <c r="M8" s="142"/>
      <c r="N8" s="1"/>
      <c r="O8" s="1"/>
      <c r="P8" s="1"/>
      <c r="Q8" s="1"/>
      <c r="R8" s="1"/>
      <c r="S8" s="1"/>
      <c r="T8" s="1"/>
      <c r="U8" s="1"/>
      <c r="V8" s="1"/>
    </row>
    <row r="9" spans="1:22" ht="19.2" customHeight="1" x14ac:dyDescent="0.25">
      <c r="A9" s="209"/>
      <c r="B9" s="2"/>
      <c r="C9" s="262" t="s">
        <v>62</v>
      </c>
      <c r="D9" s="32" t="s">
        <v>85</v>
      </c>
      <c r="E9" s="32"/>
      <c r="F9" s="32"/>
      <c r="G9" s="32"/>
      <c r="H9" s="32"/>
      <c r="I9" s="32"/>
      <c r="J9" s="33" t="s">
        <v>81</v>
      </c>
      <c r="K9" s="33" t="s">
        <v>83</v>
      </c>
    </row>
    <row r="10" spans="1:22" ht="19.2" customHeight="1" thickBot="1" x14ac:dyDescent="0.3">
      <c r="A10" s="210"/>
      <c r="B10" s="36"/>
      <c r="C10" s="263">
        <v>2017</v>
      </c>
      <c r="D10" s="37" t="s">
        <v>96</v>
      </c>
      <c r="E10" s="37" t="s">
        <v>97</v>
      </c>
      <c r="F10" s="37" t="s">
        <v>98</v>
      </c>
      <c r="G10" s="37" t="s">
        <v>99</v>
      </c>
      <c r="H10" s="37" t="s">
        <v>100</v>
      </c>
      <c r="I10" s="37" t="s">
        <v>144</v>
      </c>
      <c r="J10" s="38" t="s">
        <v>82</v>
      </c>
      <c r="K10" s="38" t="s">
        <v>84</v>
      </c>
    </row>
    <row r="11" spans="1:22" ht="19.2" customHeight="1" thickBot="1" x14ac:dyDescent="0.3">
      <c r="A11" s="211" t="s">
        <v>49</v>
      </c>
      <c r="B11" s="39"/>
      <c r="C11" s="55"/>
      <c r="D11" s="56"/>
      <c r="E11" s="56"/>
      <c r="F11" s="56"/>
      <c r="G11" s="56"/>
      <c r="H11" s="56"/>
      <c r="I11" s="56"/>
      <c r="J11" s="56"/>
      <c r="K11" s="57"/>
    </row>
    <row r="12" spans="1:22" ht="15.45" customHeight="1" x14ac:dyDescent="0.25">
      <c r="A12" s="212">
        <v>1</v>
      </c>
      <c r="B12" s="144" t="s">
        <v>46</v>
      </c>
      <c r="C12" s="195">
        <v>63900</v>
      </c>
      <c r="D12" s="145"/>
      <c r="E12" s="146"/>
      <c r="F12" s="146"/>
      <c r="G12" s="146"/>
      <c r="H12" s="146"/>
      <c r="I12" s="146"/>
      <c r="J12" s="146">
        <f>C12/63900*63800</f>
        <v>63800</v>
      </c>
      <c r="K12" s="195">
        <f>C12/639</f>
        <v>100</v>
      </c>
    </row>
    <row r="13" spans="1:22" ht="15.45" customHeight="1" x14ac:dyDescent="0.25">
      <c r="A13" s="213">
        <v>1</v>
      </c>
      <c r="B13" s="4" t="s">
        <v>167</v>
      </c>
      <c r="C13" s="16">
        <v>70000</v>
      </c>
      <c r="D13" s="51" t="s">
        <v>45</v>
      </c>
      <c r="E13" s="35"/>
      <c r="F13" s="35"/>
      <c r="G13" s="35"/>
      <c r="H13" s="35">
        <f>C13</f>
        <v>70000</v>
      </c>
      <c r="I13" s="35"/>
      <c r="J13" s="35"/>
      <c r="K13" s="16"/>
      <c r="L13" s="1" t="s">
        <v>45</v>
      </c>
    </row>
    <row r="14" spans="1:22" ht="15.45" customHeight="1" x14ac:dyDescent="0.25">
      <c r="A14" s="213">
        <v>1</v>
      </c>
      <c r="B14" s="4" t="s">
        <v>168</v>
      </c>
      <c r="C14" s="16">
        <v>65000</v>
      </c>
      <c r="D14" s="51" t="s">
        <v>45</v>
      </c>
      <c r="E14" s="35"/>
      <c r="F14" s="35"/>
      <c r="G14" s="35"/>
      <c r="H14" s="35">
        <f>C14</f>
        <v>65000</v>
      </c>
      <c r="I14" s="35"/>
      <c r="J14" s="35"/>
      <c r="K14" s="16"/>
      <c r="L14" s="1" t="s">
        <v>45</v>
      </c>
    </row>
    <row r="15" spans="1:22" ht="15.45" customHeight="1" x14ac:dyDescent="0.25">
      <c r="A15" s="213">
        <v>1</v>
      </c>
      <c r="B15" s="3" t="s">
        <v>5</v>
      </c>
      <c r="C15" s="16">
        <v>7000</v>
      </c>
      <c r="D15" s="51" t="s">
        <v>45</v>
      </c>
      <c r="E15" s="35"/>
      <c r="F15" s="35"/>
      <c r="G15" s="35">
        <f t="shared" ref="G15:G17" si="1">C15</f>
        <v>7000</v>
      </c>
      <c r="H15" s="35"/>
      <c r="I15" s="35"/>
      <c r="J15" s="35"/>
      <c r="K15" s="16"/>
    </row>
    <row r="16" spans="1:22" ht="15" customHeight="1" x14ac:dyDescent="0.25">
      <c r="A16" s="213">
        <v>1</v>
      </c>
      <c r="B16" s="3" t="s">
        <v>48</v>
      </c>
      <c r="C16" s="16">
        <v>4000</v>
      </c>
      <c r="D16" s="51" t="s">
        <v>45</v>
      </c>
      <c r="E16" s="35"/>
      <c r="F16" s="35"/>
      <c r="G16" s="35">
        <f t="shared" si="1"/>
        <v>4000</v>
      </c>
      <c r="H16" s="35"/>
      <c r="I16" s="35"/>
      <c r="J16" s="35"/>
      <c r="K16" s="16"/>
    </row>
    <row r="17" spans="1:12" ht="15.45" customHeight="1" x14ac:dyDescent="0.25">
      <c r="A17" s="213">
        <v>1</v>
      </c>
      <c r="B17" s="3" t="s">
        <v>1</v>
      </c>
      <c r="C17" s="16">
        <v>2500</v>
      </c>
      <c r="D17" s="51" t="s">
        <v>45</v>
      </c>
      <c r="E17" s="35"/>
      <c r="F17" s="35"/>
      <c r="G17" s="35">
        <f t="shared" si="1"/>
        <v>2500</v>
      </c>
      <c r="H17" s="35"/>
      <c r="I17" s="35"/>
      <c r="J17" s="35"/>
      <c r="K17" s="16"/>
    </row>
    <row r="18" spans="1:12" ht="15.45" customHeight="1" x14ac:dyDescent="0.25">
      <c r="A18" s="213">
        <v>1</v>
      </c>
      <c r="B18" s="3" t="s">
        <v>2</v>
      </c>
      <c r="C18" s="16">
        <v>25000</v>
      </c>
      <c r="D18" s="51">
        <f>C18/5*3</f>
        <v>15000</v>
      </c>
      <c r="E18" s="35"/>
      <c r="F18" s="35"/>
      <c r="G18" s="35"/>
      <c r="H18" s="35"/>
      <c r="I18" s="35"/>
      <c r="J18" s="35"/>
      <c r="K18" s="16">
        <f>C18/5*2</f>
        <v>10000</v>
      </c>
      <c r="L18" s="1" t="s">
        <v>45</v>
      </c>
    </row>
    <row r="19" spans="1:12" ht="15" customHeight="1" x14ac:dyDescent="0.25">
      <c r="A19" s="213">
        <v>1</v>
      </c>
      <c r="B19" s="4" t="s">
        <v>3</v>
      </c>
      <c r="C19" s="16">
        <v>2000</v>
      </c>
      <c r="D19" s="51"/>
      <c r="E19" s="35"/>
      <c r="F19" s="35"/>
      <c r="G19" s="35"/>
      <c r="H19" s="35"/>
      <c r="I19" s="35"/>
      <c r="J19" s="35">
        <f>C19</f>
        <v>2000</v>
      </c>
      <c r="K19" s="16"/>
    </row>
    <row r="20" spans="1:12" ht="15.45" customHeight="1" x14ac:dyDescent="0.25">
      <c r="A20" s="213">
        <v>1</v>
      </c>
      <c r="B20" s="4" t="s">
        <v>117</v>
      </c>
      <c r="C20" s="16">
        <v>2000</v>
      </c>
      <c r="D20" s="51" t="s">
        <v>45</v>
      </c>
      <c r="E20" s="35"/>
      <c r="F20" s="35"/>
      <c r="G20" s="35">
        <f>C20</f>
        <v>2000</v>
      </c>
      <c r="H20" s="35"/>
      <c r="I20" s="35"/>
      <c r="J20" s="35"/>
      <c r="K20" s="16"/>
    </row>
    <row r="21" spans="1:12" ht="15.45" customHeight="1" x14ac:dyDescent="0.25">
      <c r="A21" s="213">
        <v>1</v>
      </c>
      <c r="B21" s="4" t="s">
        <v>4</v>
      </c>
      <c r="C21" s="16">
        <v>4000</v>
      </c>
      <c r="D21" s="51" t="s">
        <v>45</v>
      </c>
      <c r="E21" s="35"/>
      <c r="F21" s="35"/>
      <c r="G21" s="35">
        <f>C21/5*2</f>
        <v>1600</v>
      </c>
      <c r="H21" s="35"/>
      <c r="I21" s="35"/>
      <c r="J21" s="35">
        <f>C21/5*2</f>
        <v>1600</v>
      </c>
      <c r="K21" s="16">
        <f>C21/5</f>
        <v>800</v>
      </c>
    </row>
    <row r="22" spans="1:12" ht="15" customHeight="1" x14ac:dyDescent="0.25">
      <c r="A22" s="213">
        <v>1</v>
      </c>
      <c r="B22" s="3" t="s">
        <v>6</v>
      </c>
      <c r="C22" s="16">
        <v>12000</v>
      </c>
      <c r="D22" s="51" t="s">
        <v>45</v>
      </c>
      <c r="E22" s="35"/>
      <c r="F22" s="35"/>
      <c r="G22" s="35">
        <f>C22/26*20</f>
        <v>9230.7692307692305</v>
      </c>
      <c r="H22" s="35"/>
      <c r="I22" s="35"/>
      <c r="J22" s="35" t="s">
        <v>45</v>
      </c>
      <c r="K22" s="16">
        <f>C22/26*6</f>
        <v>2769.2307692307695</v>
      </c>
      <c r="L22" s="1" t="s">
        <v>45</v>
      </c>
    </row>
    <row r="23" spans="1:12" ht="15.45" customHeight="1" x14ac:dyDescent="0.25">
      <c r="A23" s="213">
        <v>1</v>
      </c>
      <c r="B23" s="3" t="s">
        <v>47</v>
      </c>
      <c r="C23" s="16">
        <v>290000</v>
      </c>
      <c r="D23" s="51" t="s">
        <v>45</v>
      </c>
      <c r="E23" s="35"/>
      <c r="F23" s="35"/>
      <c r="G23" s="35">
        <f>C23</f>
        <v>290000</v>
      </c>
      <c r="H23" s="35"/>
      <c r="I23" s="35"/>
      <c r="J23" s="35"/>
      <c r="K23" s="16"/>
    </row>
    <row r="24" spans="1:12" ht="15.45" customHeight="1" x14ac:dyDescent="0.25">
      <c r="A24" s="213">
        <v>1</v>
      </c>
      <c r="B24" s="4" t="s">
        <v>7</v>
      </c>
      <c r="C24" s="16">
        <v>2000</v>
      </c>
      <c r="D24" s="51"/>
      <c r="E24" s="35"/>
      <c r="F24" s="35"/>
      <c r="G24" s="35">
        <f>C24/2</f>
        <v>1000</v>
      </c>
      <c r="H24" s="35"/>
      <c r="I24" s="35"/>
      <c r="J24" s="35"/>
      <c r="K24" s="16">
        <f>C24/2</f>
        <v>1000</v>
      </c>
      <c r="L24" s="1" t="s">
        <v>45</v>
      </c>
    </row>
    <row r="25" spans="1:12" ht="15.45" customHeight="1" x14ac:dyDescent="0.25">
      <c r="A25" s="213">
        <v>1</v>
      </c>
      <c r="B25" s="4" t="s">
        <v>163</v>
      </c>
      <c r="C25" s="16">
        <v>28600</v>
      </c>
      <c r="D25" s="51" t="s">
        <v>45</v>
      </c>
      <c r="E25" s="35"/>
      <c r="F25" s="35"/>
      <c r="G25" s="35">
        <f>C25/28600*12300</f>
        <v>12300</v>
      </c>
      <c r="H25" s="35"/>
      <c r="I25" s="35"/>
      <c r="J25" s="35">
        <f>C25/28600*10000</f>
        <v>10000</v>
      </c>
      <c r="K25" s="16">
        <f>C25/28600*6300</f>
        <v>6300</v>
      </c>
      <c r="L25" s="1" t="s">
        <v>45</v>
      </c>
    </row>
    <row r="26" spans="1:12" ht="15.45" customHeight="1" x14ac:dyDescent="0.25">
      <c r="A26" s="213">
        <v>1</v>
      </c>
      <c r="B26" s="4" t="s">
        <v>123</v>
      </c>
      <c r="C26" s="16">
        <v>15000</v>
      </c>
      <c r="D26" s="51" t="s">
        <v>45</v>
      </c>
      <c r="E26" s="35"/>
      <c r="F26" s="35"/>
      <c r="G26" s="35">
        <f>C26/18500*9000</f>
        <v>7297.2972972972975</v>
      </c>
      <c r="H26" s="35"/>
      <c r="I26" s="35"/>
      <c r="J26" s="35">
        <f>C26/18500*1500</f>
        <v>1216.2162162162163</v>
      </c>
      <c r="K26" s="16">
        <f>C26/18500*8000</f>
        <v>6486.4864864864867</v>
      </c>
      <c r="L26" s="1" t="s">
        <v>45</v>
      </c>
    </row>
    <row r="27" spans="1:12" ht="15.45" customHeight="1" x14ac:dyDescent="0.25">
      <c r="A27" s="213">
        <v>1</v>
      </c>
      <c r="B27" s="14" t="s">
        <v>0</v>
      </c>
      <c r="C27" s="16">
        <v>5600</v>
      </c>
      <c r="D27" s="51" t="s">
        <v>45</v>
      </c>
      <c r="E27" s="35"/>
      <c r="F27" s="35"/>
      <c r="G27" s="35">
        <f>C27/5600*1000</f>
        <v>1000</v>
      </c>
      <c r="H27" s="35"/>
      <c r="I27" s="35"/>
      <c r="J27" s="35"/>
      <c r="K27" s="16">
        <f>C27/5600*4600</f>
        <v>4600</v>
      </c>
      <c r="L27" s="1" t="s">
        <v>45</v>
      </c>
    </row>
    <row r="28" spans="1:12" ht="15.45" customHeight="1" x14ac:dyDescent="0.25">
      <c r="A28" s="213">
        <v>1</v>
      </c>
      <c r="B28" s="3" t="s">
        <v>124</v>
      </c>
      <c r="C28" s="16">
        <v>5500</v>
      </c>
      <c r="D28" s="51" t="s">
        <v>45</v>
      </c>
      <c r="E28" s="35"/>
      <c r="F28" s="35"/>
      <c r="G28" s="35">
        <f>C28/5500*1500</f>
        <v>1500</v>
      </c>
      <c r="H28" s="35"/>
      <c r="I28" s="35"/>
      <c r="J28" s="35">
        <f>C28/5500*1000</f>
        <v>1000</v>
      </c>
      <c r="K28" s="16">
        <f>C28/5500*3000</f>
        <v>3000</v>
      </c>
      <c r="L28" s="1" t="s">
        <v>45</v>
      </c>
    </row>
    <row r="29" spans="1:12" ht="15.45" customHeight="1" x14ac:dyDescent="0.25">
      <c r="A29" s="213">
        <v>1</v>
      </c>
      <c r="B29" s="4" t="s">
        <v>118</v>
      </c>
      <c r="C29" s="16">
        <v>1552</v>
      </c>
      <c r="D29" s="51" t="s">
        <v>45</v>
      </c>
      <c r="E29" s="35"/>
      <c r="F29" s="35"/>
      <c r="G29" s="35">
        <f>C29</f>
        <v>1552</v>
      </c>
      <c r="H29" s="35"/>
      <c r="I29" s="35"/>
      <c r="J29" s="35"/>
      <c r="K29" s="16"/>
    </row>
    <row r="30" spans="1:12" ht="15.45" customHeight="1" x14ac:dyDescent="0.25">
      <c r="A30" s="213">
        <v>1</v>
      </c>
      <c r="B30" s="3" t="s">
        <v>8</v>
      </c>
      <c r="C30" s="16">
        <v>1000</v>
      </c>
      <c r="D30" s="51" t="s">
        <v>45</v>
      </c>
      <c r="E30" s="35"/>
      <c r="F30" s="35"/>
      <c r="G30" s="35" t="s">
        <v>45</v>
      </c>
      <c r="H30" s="35"/>
      <c r="I30" s="35"/>
      <c r="J30" s="35"/>
      <c r="K30" s="16">
        <f>C30</f>
        <v>1000</v>
      </c>
    </row>
    <row r="31" spans="1:12" ht="15.45" customHeight="1" x14ac:dyDescent="0.25">
      <c r="A31" s="213">
        <v>1</v>
      </c>
      <c r="B31" s="3" t="s">
        <v>125</v>
      </c>
      <c r="C31" s="16">
        <v>500</v>
      </c>
      <c r="D31" s="51" t="s">
        <v>45</v>
      </c>
      <c r="E31" s="35"/>
      <c r="F31" s="35"/>
      <c r="G31" s="35">
        <f>C31</f>
        <v>500</v>
      </c>
      <c r="H31" s="35"/>
      <c r="I31" s="35"/>
      <c r="J31" s="35"/>
      <c r="K31" s="16"/>
    </row>
    <row r="32" spans="1:12" ht="15.45" customHeight="1" x14ac:dyDescent="0.25">
      <c r="A32" s="213">
        <v>1</v>
      </c>
      <c r="B32" s="3" t="s">
        <v>119</v>
      </c>
      <c r="C32" s="16">
        <v>500</v>
      </c>
      <c r="D32" s="51"/>
      <c r="E32" s="35"/>
      <c r="F32" s="35"/>
      <c r="G32" s="35"/>
      <c r="H32" s="35"/>
      <c r="I32" s="35"/>
      <c r="J32" s="35">
        <f>C32</f>
        <v>500</v>
      </c>
      <c r="K32" s="16"/>
    </row>
    <row r="33" spans="1:22" ht="15.45" customHeight="1" x14ac:dyDescent="0.25">
      <c r="A33" s="213">
        <v>1</v>
      </c>
      <c r="B33" s="3" t="s">
        <v>10</v>
      </c>
      <c r="C33" s="16">
        <v>1000</v>
      </c>
      <c r="D33" s="51" t="s">
        <v>45</v>
      </c>
      <c r="E33" s="35"/>
      <c r="F33" s="35"/>
      <c r="G33" s="35">
        <f>C33</f>
        <v>1000</v>
      </c>
      <c r="H33" s="35"/>
      <c r="I33" s="35"/>
      <c r="J33" s="35"/>
      <c r="K33" s="16"/>
    </row>
    <row r="34" spans="1:22" ht="15.45" customHeight="1" x14ac:dyDescent="0.25">
      <c r="A34" s="213">
        <v>1</v>
      </c>
      <c r="B34" s="3" t="s">
        <v>59</v>
      </c>
      <c r="C34" s="16">
        <v>18500</v>
      </c>
      <c r="D34" s="51" t="s">
        <v>45</v>
      </c>
      <c r="E34" s="35"/>
      <c r="F34" s="35">
        <f>C34/18500*2500</f>
        <v>2500</v>
      </c>
      <c r="G34" s="35">
        <f>C34/18500*8000</f>
        <v>8000</v>
      </c>
      <c r="H34" s="35"/>
      <c r="I34" s="35"/>
      <c r="J34" s="35">
        <f>C34/18500*2000</f>
        <v>2000</v>
      </c>
      <c r="K34" s="16">
        <f>C34/18500*6000</f>
        <v>6000</v>
      </c>
      <c r="L34" s="1" t="s">
        <v>45</v>
      </c>
    </row>
    <row r="35" spans="1:22" ht="15.45" customHeight="1" x14ac:dyDescent="0.25">
      <c r="A35" s="213">
        <v>1</v>
      </c>
      <c r="B35" s="3" t="s">
        <v>60</v>
      </c>
      <c r="C35" s="16">
        <v>55000</v>
      </c>
      <c r="D35" s="51" t="s">
        <v>45</v>
      </c>
      <c r="E35" s="35"/>
      <c r="F35" s="35">
        <f>C35/55000*18500</f>
        <v>18500</v>
      </c>
      <c r="G35" s="35">
        <f>C35/55000*20000</f>
        <v>20000</v>
      </c>
      <c r="H35" s="35"/>
      <c r="I35" s="35"/>
      <c r="J35" s="35">
        <f>C35/55000*5500</f>
        <v>5500</v>
      </c>
      <c r="K35" s="16">
        <f>C35/55000*11000</f>
        <v>11000</v>
      </c>
      <c r="L35" s="1" t="s">
        <v>45</v>
      </c>
    </row>
    <row r="36" spans="1:22" ht="15" customHeight="1" x14ac:dyDescent="0.25">
      <c r="A36" s="213">
        <v>1</v>
      </c>
      <c r="B36" s="4" t="s">
        <v>61</v>
      </c>
      <c r="C36" s="16">
        <v>52000</v>
      </c>
      <c r="D36" s="51" t="s">
        <v>45</v>
      </c>
      <c r="E36" s="35"/>
      <c r="F36" s="35">
        <f>C36/52000*16400</f>
        <v>16400</v>
      </c>
      <c r="G36" s="35">
        <f>C36/52000*20000</f>
        <v>20000</v>
      </c>
      <c r="H36" s="35"/>
      <c r="I36" s="35"/>
      <c r="J36" s="35">
        <f>C36/52000*5200</f>
        <v>5200</v>
      </c>
      <c r="K36" s="16">
        <f>C36/52000*10400</f>
        <v>10400</v>
      </c>
      <c r="L36" s="1" t="s">
        <v>45</v>
      </c>
    </row>
    <row r="37" spans="1:22" ht="15.45" customHeight="1" x14ac:dyDescent="0.25">
      <c r="A37" s="213">
        <v>1</v>
      </c>
      <c r="B37" s="4" t="s">
        <v>11</v>
      </c>
      <c r="C37" s="16">
        <v>1000</v>
      </c>
      <c r="D37" s="51"/>
      <c r="E37" s="35"/>
      <c r="F37" s="35"/>
      <c r="G37" s="35"/>
      <c r="H37" s="35"/>
      <c r="I37" s="35"/>
      <c r="J37" s="35"/>
      <c r="K37" s="16">
        <f>C37</f>
        <v>1000</v>
      </c>
      <c r="L37" s="1" t="s">
        <v>45</v>
      </c>
    </row>
    <row r="38" spans="1:22" ht="15.45" customHeight="1" x14ac:dyDescent="0.25">
      <c r="A38" s="213">
        <v>1</v>
      </c>
      <c r="B38" s="4" t="s">
        <v>126</v>
      </c>
      <c r="C38" s="16">
        <v>3000</v>
      </c>
      <c r="D38" s="51" t="s">
        <v>45</v>
      </c>
      <c r="E38" s="35"/>
      <c r="F38" s="35"/>
      <c r="G38" s="35">
        <f>C38/3000*2000</f>
        <v>2000</v>
      </c>
      <c r="H38" s="35"/>
      <c r="I38" s="35"/>
      <c r="J38" s="35">
        <f>C38/3000*900</f>
        <v>900</v>
      </c>
      <c r="K38" s="16">
        <f>C38/3000*100</f>
        <v>100</v>
      </c>
      <c r="L38" s="1" t="s">
        <v>45</v>
      </c>
    </row>
    <row r="39" spans="1:22" ht="15.45" customHeight="1" x14ac:dyDescent="0.25">
      <c r="A39" s="213">
        <v>1</v>
      </c>
      <c r="B39" s="3" t="s">
        <v>127</v>
      </c>
      <c r="C39" s="16">
        <v>4400</v>
      </c>
      <c r="D39" s="51"/>
      <c r="E39" s="35"/>
      <c r="F39" s="35"/>
      <c r="G39" s="35">
        <f>C39/2</f>
        <v>2200</v>
      </c>
      <c r="H39" s="35"/>
      <c r="I39" s="35"/>
      <c r="J39" s="35"/>
      <c r="K39" s="16">
        <f>C39/2</f>
        <v>2200</v>
      </c>
      <c r="L39" s="1" t="s">
        <v>45</v>
      </c>
    </row>
    <row r="40" spans="1:22" ht="15.45" customHeight="1" x14ac:dyDescent="0.25">
      <c r="A40" s="213">
        <v>1</v>
      </c>
      <c r="B40" s="4" t="s">
        <v>128</v>
      </c>
      <c r="C40" s="16">
        <v>10000</v>
      </c>
      <c r="D40" s="51" t="s">
        <v>45</v>
      </c>
      <c r="E40" s="35"/>
      <c r="F40" s="35"/>
      <c r="G40" s="35">
        <f>C40/3*2</f>
        <v>6666.666666666667</v>
      </c>
      <c r="H40" s="35"/>
      <c r="I40" s="35"/>
      <c r="J40" s="35" t="s">
        <v>45</v>
      </c>
      <c r="K40" s="16">
        <f>C40/3</f>
        <v>3333.3333333333335</v>
      </c>
      <c r="L40" s="1" t="s">
        <v>45</v>
      </c>
    </row>
    <row r="41" spans="1:22" ht="15.45" customHeight="1" x14ac:dyDescent="0.25">
      <c r="A41" s="213">
        <v>1</v>
      </c>
      <c r="B41" s="4" t="s">
        <v>76</v>
      </c>
      <c r="C41" s="16">
        <v>5000</v>
      </c>
      <c r="D41" s="51" t="s">
        <v>45</v>
      </c>
      <c r="E41" s="35"/>
      <c r="F41" s="35"/>
      <c r="G41" s="35"/>
      <c r="H41" s="35"/>
      <c r="I41" s="35"/>
      <c r="J41" s="35">
        <f>C41</f>
        <v>5000</v>
      </c>
      <c r="K41" s="16" t="s">
        <v>45</v>
      </c>
      <c r="L41" s="1" t="s">
        <v>45</v>
      </c>
    </row>
    <row r="42" spans="1:22" ht="15.45" customHeight="1" x14ac:dyDescent="0.25">
      <c r="A42" s="213">
        <v>1</v>
      </c>
      <c r="B42" s="3" t="s">
        <v>77</v>
      </c>
      <c r="C42" s="52">
        <v>1600</v>
      </c>
      <c r="D42" s="51"/>
      <c r="E42" s="35"/>
      <c r="F42" s="35"/>
      <c r="G42" s="35"/>
      <c r="H42" s="35"/>
      <c r="I42" s="35"/>
      <c r="J42" s="35">
        <v>1600</v>
      </c>
      <c r="K42" s="16"/>
      <c r="L42" s="1" t="s">
        <v>45</v>
      </c>
    </row>
    <row r="43" spans="1:22" ht="15.45" customHeight="1" x14ac:dyDescent="0.25">
      <c r="A43" s="213">
        <v>1</v>
      </c>
      <c r="B43" s="3" t="s">
        <v>78</v>
      </c>
      <c r="C43" s="52">
        <v>30000</v>
      </c>
      <c r="D43" s="51" t="s">
        <v>45</v>
      </c>
      <c r="E43" s="35"/>
      <c r="F43" s="35">
        <f>C43</f>
        <v>30000</v>
      </c>
      <c r="G43" s="35"/>
      <c r="H43" s="35"/>
      <c r="I43" s="35"/>
      <c r="J43" s="35" t="s">
        <v>45</v>
      </c>
      <c r="K43" s="16"/>
      <c r="L43" s="1" t="s">
        <v>45</v>
      </c>
    </row>
    <row r="44" spans="1:22" ht="15.45" customHeight="1" thickBot="1" x14ac:dyDescent="0.3">
      <c r="A44" s="214">
        <v>1</v>
      </c>
      <c r="B44" s="53" t="s">
        <v>120</v>
      </c>
      <c r="C44" s="54">
        <v>80000</v>
      </c>
      <c r="D44" s="147" t="s">
        <v>45</v>
      </c>
      <c r="E44" s="148">
        <f>C44</f>
        <v>80000</v>
      </c>
      <c r="F44" s="148"/>
      <c r="G44" s="148"/>
      <c r="H44" s="148"/>
      <c r="I44" s="148"/>
      <c r="J44" s="148"/>
      <c r="K44" s="149"/>
      <c r="M44" s="141"/>
      <c r="N44" s="40"/>
      <c r="O44" s="40"/>
      <c r="P44" s="40"/>
      <c r="Q44" s="40"/>
      <c r="R44" s="40"/>
      <c r="S44" s="40"/>
      <c r="T44" s="40"/>
      <c r="U44" s="40"/>
      <c r="V44" s="40"/>
    </row>
    <row r="45" spans="1:22" s="40" customFormat="1" ht="15.45" customHeight="1" thickBot="1" x14ac:dyDescent="0.3">
      <c r="A45" s="211" t="s">
        <v>49</v>
      </c>
      <c r="B45" s="41"/>
      <c r="C45" s="42">
        <f>SUM(C12:C44)</f>
        <v>869152</v>
      </c>
      <c r="D45" s="42">
        <f t="shared" ref="D45:K45" si="2">SUM(D12:D44)</f>
        <v>15000</v>
      </c>
      <c r="E45" s="42">
        <f t="shared" si="2"/>
        <v>80000</v>
      </c>
      <c r="F45" s="42">
        <f t="shared" si="2"/>
        <v>67400</v>
      </c>
      <c r="G45" s="42">
        <f t="shared" si="2"/>
        <v>401346.73319473321</v>
      </c>
      <c r="H45" s="42">
        <f t="shared" si="2"/>
        <v>135000</v>
      </c>
      <c r="I45" s="42"/>
      <c r="J45" s="42">
        <f t="shared" si="2"/>
        <v>100316.21621621621</v>
      </c>
      <c r="K45" s="43">
        <f t="shared" si="2"/>
        <v>70089.050589050588</v>
      </c>
      <c r="M45" s="141"/>
    </row>
    <row r="46" spans="1:22" s="40" customFormat="1" ht="15.45" customHeight="1" thickBot="1" x14ac:dyDescent="0.3">
      <c r="A46" s="215" t="s">
        <v>54</v>
      </c>
      <c r="B46" s="46"/>
      <c r="C46" s="47"/>
      <c r="D46" s="48"/>
      <c r="E46" s="49"/>
      <c r="F46" s="49"/>
      <c r="G46" s="49"/>
      <c r="H46" s="49"/>
      <c r="I46" s="49"/>
      <c r="J46" s="49"/>
      <c r="K46" s="48"/>
      <c r="M46" s="142"/>
      <c r="N46" s="1"/>
      <c r="O46" s="1"/>
      <c r="P46" s="1"/>
      <c r="Q46" s="1"/>
      <c r="R46" s="1"/>
      <c r="S46" s="1"/>
      <c r="T46" s="1"/>
      <c r="U46" s="1"/>
      <c r="V46" s="1"/>
    </row>
    <row r="47" spans="1:22" ht="15.45" customHeight="1" x14ac:dyDescent="0.25">
      <c r="A47" s="216">
        <v>8</v>
      </c>
      <c r="B47" s="17" t="s">
        <v>129</v>
      </c>
      <c r="C47" s="18">
        <v>7000</v>
      </c>
      <c r="D47" s="50" t="s">
        <v>45</v>
      </c>
      <c r="E47" s="45"/>
      <c r="F47" s="45"/>
      <c r="G47" s="45">
        <f>C47/2</f>
        <v>3500</v>
      </c>
      <c r="H47" s="45"/>
      <c r="I47" s="45"/>
      <c r="J47" s="45" t="s">
        <v>45</v>
      </c>
      <c r="K47" s="18">
        <f>C47/2</f>
        <v>3500</v>
      </c>
      <c r="L47" s="1" t="s">
        <v>45</v>
      </c>
    </row>
    <row r="48" spans="1:22" ht="15.6" customHeight="1" x14ac:dyDescent="0.25">
      <c r="A48" s="217">
        <v>8</v>
      </c>
      <c r="B48" s="9" t="s">
        <v>73</v>
      </c>
      <c r="C48" s="19">
        <v>4500</v>
      </c>
      <c r="D48" s="28" t="s">
        <v>45</v>
      </c>
      <c r="E48" s="44"/>
      <c r="F48" s="44"/>
      <c r="G48" s="44">
        <f>C48</f>
        <v>4500</v>
      </c>
      <c r="H48" s="44"/>
      <c r="I48" s="44"/>
      <c r="J48" s="44" t="s">
        <v>45</v>
      </c>
      <c r="K48" s="19" t="s">
        <v>45</v>
      </c>
    </row>
    <row r="49" spans="1:22" ht="15.45" customHeight="1" x14ac:dyDescent="0.25">
      <c r="A49" s="217">
        <v>8</v>
      </c>
      <c r="B49" s="9" t="s">
        <v>74</v>
      </c>
      <c r="C49" s="19">
        <v>3500</v>
      </c>
      <c r="D49" s="28" t="s">
        <v>45</v>
      </c>
      <c r="E49" s="44"/>
      <c r="F49" s="44"/>
      <c r="G49" s="44">
        <f>C49</f>
        <v>3500</v>
      </c>
      <c r="H49" s="44"/>
      <c r="I49" s="44"/>
      <c r="J49" s="44" t="s">
        <v>45</v>
      </c>
      <c r="K49" s="19" t="s">
        <v>45</v>
      </c>
    </row>
    <row r="50" spans="1:22" ht="15.45" customHeight="1" x14ac:dyDescent="0.25">
      <c r="A50" s="217">
        <v>8</v>
      </c>
      <c r="B50" s="10" t="s">
        <v>72</v>
      </c>
      <c r="C50" s="20">
        <v>5000</v>
      </c>
      <c r="D50" s="28" t="s">
        <v>45</v>
      </c>
      <c r="E50" s="44"/>
      <c r="F50" s="44"/>
      <c r="G50" s="44">
        <f>C50/5</f>
        <v>1000</v>
      </c>
      <c r="H50" s="44">
        <f>C50/5*4</f>
        <v>4000</v>
      </c>
      <c r="I50" s="44"/>
      <c r="J50" s="44" t="s">
        <v>45</v>
      </c>
      <c r="K50" s="19" t="s">
        <v>45</v>
      </c>
      <c r="L50" s="34" t="s">
        <v>45</v>
      </c>
      <c r="M50" s="143"/>
      <c r="N50" s="34"/>
      <c r="O50" s="34"/>
      <c r="P50" s="34"/>
      <c r="Q50" s="34"/>
    </row>
    <row r="51" spans="1:22" ht="15.45" customHeight="1" x14ac:dyDescent="0.25">
      <c r="A51" s="217">
        <v>8</v>
      </c>
      <c r="B51" s="9" t="s">
        <v>114</v>
      </c>
      <c r="C51" s="20">
        <v>4000</v>
      </c>
      <c r="D51" s="28" t="s">
        <v>45</v>
      </c>
      <c r="E51" s="44"/>
      <c r="F51" s="44"/>
      <c r="G51" s="44"/>
      <c r="H51" s="44"/>
      <c r="I51" s="44"/>
      <c r="J51" s="44" t="s">
        <v>45</v>
      </c>
      <c r="K51" s="19">
        <f>C51</f>
        <v>4000</v>
      </c>
    </row>
    <row r="52" spans="1:22" ht="15.45" customHeight="1" x14ac:dyDescent="0.25">
      <c r="A52" s="217">
        <v>8</v>
      </c>
      <c r="B52" s="9" t="s">
        <v>71</v>
      </c>
      <c r="C52" s="20">
        <v>2000</v>
      </c>
      <c r="D52" s="28" t="s">
        <v>45</v>
      </c>
      <c r="E52" s="44"/>
      <c r="F52" s="44"/>
      <c r="G52" s="44"/>
      <c r="H52" s="44"/>
      <c r="I52" s="44"/>
      <c r="J52" s="44">
        <f>C52</f>
        <v>2000</v>
      </c>
      <c r="K52" s="19" t="s">
        <v>45</v>
      </c>
    </row>
    <row r="53" spans="1:22" ht="15.45" customHeight="1" x14ac:dyDescent="0.25">
      <c r="A53" s="217">
        <v>8</v>
      </c>
      <c r="B53" s="9" t="s">
        <v>115</v>
      </c>
      <c r="C53" s="20">
        <v>10000</v>
      </c>
      <c r="D53" s="28" t="s">
        <v>45</v>
      </c>
      <c r="E53" s="44"/>
      <c r="F53" s="44"/>
      <c r="G53" s="44">
        <f>C53/3600*600</f>
        <v>1666.6666666666665</v>
      </c>
      <c r="H53" s="44">
        <f>C53/3600*3000</f>
        <v>8333.3333333333339</v>
      </c>
      <c r="I53" s="44"/>
      <c r="J53" s="44" t="s">
        <v>45</v>
      </c>
      <c r="K53" s="19" t="s">
        <v>45</v>
      </c>
      <c r="L53" s="34" t="s">
        <v>45</v>
      </c>
      <c r="M53" s="143"/>
      <c r="N53" s="34"/>
      <c r="O53" s="34"/>
      <c r="P53" s="34"/>
      <c r="Q53" s="34"/>
    </row>
    <row r="54" spans="1:22" ht="15.45" customHeight="1" thickBot="1" x14ac:dyDescent="0.3">
      <c r="A54" s="218">
        <v>8</v>
      </c>
      <c r="B54" s="58" t="s">
        <v>56</v>
      </c>
      <c r="C54" s="59">
        <v>0</v>
      </c>
      <c r="D54" s="60" t="s">
        <v>45</v>
      </c>
      <c r="E54" s="58"/>
      <c r="F54" s="58"/>
      <c r="G54" s="58">
        <f>C54</f>
        <v>0</v>
      </c>
      <c r="H54" s="58"/>
      <c r="I54" s="58"/>
      <c r="J54" s="58" t="s">
        <v>45</v>
      </c>
      <c r="K54" s="59" t="s">
        <v>45</v>
      </c>
      <c r="M54" s="141"/>
      <c r="N54" s="40"/>
      <c r="O54" s="40"/>
      <c r="P54" s="40"/>
      <c r="Q54" s="40"/>
      <c r="R54" s="40"/>
      <c r="S54" s="40"/>
      <c r="T54" s="40"/>
      <c r="U54" s="40"/>
      <c r="V54" s="40"/>
    </row>
    <row r="55" spans="1:22" s="40" customFormat="1" ht="15.45" customHeight="1" thickBot="1" x14ac:dyDescent="0.3">
      <c r="A55" s="219" t="s">
        <v>91</v>
      </c>
      <c r="B55" s="61"/>
      <c r="C55" s="62">
        <f t="shared" ref="C55:K55" si="3">SUM(C47:C54)</f>
        <v>36000</v>
      </c>
      <c r="D55" s="63">
        <f t="shared" si="3"/>
        <v>0</v>
      </c>
      <c r="E55" s="63">
        <f t="shared" si="3"/>
        <v>0</v>
      </c>
      <c r="F55" s="63">
        <f t="shared" si="3"/>
        <v>0</v>
      </c>
      <c r="G55" s="63">
        <f t="shared" si="3"/>
        <v>14166.666666666666</v>
      </c>
      <c r="H55" s="63">
        <f t="shared" si="3"/>
        <v>12333.333333333334</v>
      </c>
      <c r="I55" s="63"/>
      <c r="J55" s="64">
        <f t="shared" si="3"/>
        <v>2000</v>
      </c>
      <c r="K55" s="62">
        <f t="shared" si="3"/>
        <v>7500</v>
      </c>
      <c r="M55" s="142"/>
      <c r="N55" s="1"/>
      <c r="O55" s="1"/>
      <c r="P55" s="1"/>
      <c r="Q55" s="1"/>
      <c r="R55" s="1"/>
      <c r="S55" s="1"/>
      <c r="T55" s="1"/>
      <c r="U55" s="1"/>
      <c r="V55" s="1"/>
    </row>
    <row r="56" spans="1:22" ht="15.45" customHeight="1" thickBot="1" x14ac:dyDescent="0.3">
      <c r="A56" s="220" t="s">
        <v>51</v>
      </c>
      <c r="B56" s="67"/>
      <c r="C56" s="68"/>
      <c r="D56" s="69" t="s">
        <v>45</v>
      </c>
      <c r="E56" s="69"/>
      <c r="F56" s="69"/>
      <c r="G56" s="69"/>
      <c r="H56" s="69"/>
      <c r="I56" s="69"/>
      <c r="J56" s="69"/>
      <c r="K56" s="70"/>
    </row>
    <row r="57" spans="1:22" ht="15.45" customHeight="1" x14ac:dyDescent="0.25">
      <c r="A57" s="221">
        <v>6</v>
      </c>
      <c r="B57" s="11" t="s">
        <v>12</v>
      </c>
      <c r="C57" s="73">
        <v>7000</v>
      </c>
      <c r="D57" s="71" t="s">
        <v>45</v>
      </c>
      <c r="E57" s="66"/>
      <c r="F57" s="66">
        <f>C57</f>
        <v>7000</v>
      </c>
      <c r="G57" s="66"/>
      <c r="H57" s="66"/>
      <c r="I57" s="66"/>
      <c r="J57" s="66" t="s">
        <v>45</v>
      </c>
      <c r="K57" s="25" t="s">
        <v>45</v>
      </c>
    </row>
    <row r="58" spans="1:22" ht="15.45" customHeight="1" x14ac:dyDescent="0.25">
      <c r="A58" s="222">
        <v>6</v>
      </c>
      <c r="B58" s="6" t="s">
        <v>13</v>
      </c>
      <c r="C58" s="26">
        <v>1000</v>
      </c>
      <c r="D58" s="72" t="s">
        <v>45</v>
      </c>
      <c r="E58" s="65"/>
      <c r="F58" s="66">
        <f t="shared" ref="F58:F61" si="4">C58</f>
        <v>1000</v>
      </c>
      <c r="G58" s="65"/>
      <c r="H58" s="65"/>
      <c r="I58" s="65"/>
      <c r="J58" s="65" t="s">
        <v>45</v>
      </c>
      <c r="K58" s="26" t="s">
        <v>45</v>
      </c>
    </row>
    <row r="59" spans="1:22" ht="15.45" customHeight="1" x14ac:dyDescent="0.25">
      <c r="A59" s="222">
        <v>6</v>
      </c>
      <c r="B59" s="6" t="s">
        <v>14</v>
      </c>
      <c r="C59" s="26">
        <v>2500</v>
      </c>
      <c r="D59" s="72" t="s">
        <v>45</v>
      </c>
      <c r="E59" s="65"/>
      <c r="F59" s="66">
        <f t="shared" si="4"/>
        <v>2500</v>
      </c>
      <c r="G59" s="65"/>
      <c r="H59" s="65"/>
      <c r="I59" s="65"/>
      <c r="J59" s="65" t="s">
        <v>45</v>
      </c>
      <c r="K59" s="26" t="s">
        <v>45</v>
      </c>
      <c r="L59" s="34" t="s">
        <v>45</v>
      </c>
      <c r="M59" s="143"/>
      <c r="N59" s="34"/>
      <c r="O59" s="34"/>
      <c r="P59" s="34"/>
    </row>
    <row r="60" spans="1:22" ht="15.45" customHeight="1" x14ac:dyDescent="0.25">
      <c r="A60" s="222">
        <v>6</v>
      </c>
      <c r="B60" s="6" t="s">
        <v>9</v>
      </c>
      <c r="C60" s="26">
        <v>2000</v>
      </c>
      <c r="D60" s="72" t="s">
        <v>45</v>
      </c>
      <c r="E60" s="65"/>
      <c r="F60" s="66">
        <f t="shared" si="4"/>
        <v>2000</v>
      </c>
      <c r="G60" s="65"/>
      <c r="H60" s="65"/>
      <c r="I60" s="65"/>
      <c r="J60" s="65" t="s">
        <v>45</v>
      </c>
      <c r="K60" s="26" t="s">
        <v>45</v>
      </c>
    </row>
    <row r="61" spans="1:22" ht="15.45" customHeight="1" thickBot="1" x14ac:dyDescent="0.3">
      <c r="A61" s="223">
        <v>6</v>
      </c>
      <c r="B61" s="15" t="s">
        <v>56</v>
      </c>
      <c r="C61" s="27">
        <v>1000</v>
      </c>
      <c r="D61" s="74" t="s">
        <v>45</v>
      </c>
      <c r="E61" s="75"/>
      <c r="F61" s="66">
        <f t="shared" si="4"/>
        <v>1000</v>
      </c>
      <c r="G61" s="75"/>
      <c r="H61" s="75"/>
      <c r="I61" s="75"/>
      <c r="J61" s="75" t="s">
        <v>45</v>
      </c>
      <c r="K61" s="27" t="s">
        <v>45</v>
      </c>
      <c r="M61" s="141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40" customFormat="1" ht="15.45" customHeight="1" thickBot="1" x14ac:dyDescent="0.3">
      <c r="A62" s="224" t="s">
        <v>90</v>
      </c>
      <c r="B62" s="83"/>
      <c r="C62" s="84">
        <f t="shared" ref="C62:H62" si="5">SUM(C57:C61)</f>
        <v>13500</v>
      </c>
      <c r="D62" s="85">
        <f t="shared" si="5"/>
        <v>0</v>
      </c>
      <c r="E62" s="85">
        <f t="shared" si="5"/>
        <v>0</v>
      </c>
      <c r="F62" s="85">
        <f t="shared" si="5"/>
        <v>13500</v>
      </c>
      <c r="G62" s="85">
        <f t="shared" si="5"/>
        <v>0</v>
      </c>
      <c r="H62" s="85">
        <f t="shared" si="5"/>
        <v>0</v>
      </c>
      <c r="I62" s="85"/>
      <c r="J62" s="85">
        <f>SUM(J57:J61)</f>
        <v>0</v>
      </c>
      <c r="K62" s="248">
        <f>SUM(K57:K61)</f>
        <v>0</v>
      </c>
      <c r="M62" s="141"/>
    </row>
    <row r="63" spans="1:22" s="40" customFormat="1" ht="15.45" customHeight="1" thickBot="1" x14ac:dyDescent="0.3">
      <c r="A63" s="225" t="s">
        <v>50</v>
      </c>
      <c r="B63" s="163"/>
      <c r="C63" s="164"/>
      <c r="D63" s="165"/>
      <c r="E63" s="165"/>
      <c r="F63" s="165"/>
      <c r="G63" s="165"/>
      <c r="H63" s="165"/>
      <c r="I63" s="165"/>
      <c r="J63" s="165"/>
      <c r="K63" s="166"/>
      <c r="M63" s="142"/>
      <c r="N63" s="1"/>
      <c r="O63" s="1"/>
      <c r="P63" s="1"/>
      <c r="Q63" s="1"/>
      <c r="R63" s="1"/>
      <c r="S63" s="1"/>
      <c r="T63" s="1"/>
      <c r="U63" s="1"/>
      <c r="V63" s="1"/>
    </row>
    <row r="64" spans="1:22" ht="15.45" customHeight="1" x14ac:dyDescent="0.25">
      <c r="A64" s="227">
        <v>4</v>
      </c>
      <c r="B64" s="21" t="s">
        <v>15</v>
      </c>
      <c r="C64" s="23">
        <v>73500</v>
      </c>
      <c r="D64" s="86" t="s">
        <v>45</v>
      </c>
      <c r="E64" s="31">
        <f t="shared" ref="E64:E72" si="6">C64</f>
        <v>73500</v>
      </c>
      <c r="F64" s="31"/>
      <c r="G64" s="31"/>
      <c r="H64" s="31"/>
      <c r="I64" s="31"/>
      <c r="J64" s="31"/>
      <c r="K64" s="23"/>
      <c r="L64" s="34" t="s">
        <v>45</v>
      </c>
    </row>
    <row r="65" spans="1:22" ht="15" customHeight="1" x14ac:dyDescent="0.25">
      <c r="A65" s="227">
        <v>4</v>
      </c>
      <c r="B65" s="21" t="s">
        <v>42</v>
      </c>
      <c r="C65" s="23">
        <v>74000</v>
      </c>
      <c r="D65" s="86"/>
      <c r="E65" s="31">
        <f t="shared" si="6"/>
        <v>74000</v>
      </c>
      <c r="F65" s="31"/>
      <c r="G65" s="31"/>
      <c r="H65" s="31"/>
      <c r="I65" s="31"/>
      <c r="J65" s="31"/>
      <c r="K65" s="23"/>
    </row>
    <row r="66" spans="1:22" ht="15.45" customHeight="1" x14ac:dyDescent="0.25">
      <c r="A66" s="227">
        <v>4</v>
      </c>
      <c r="B66" s="21" t="s">
        <v>165</v>
      </c>
      <c r="C66" s="23">
        <v>54000</v>
      </c>
      <c r="D66" s="86"/>
      <c r="E66" s="31">
        <f t="shared" si="6"/>
        <v>54000</v>
      </c>
      <c r="F66" s="31"/>
      <c r="G66" s="31"/>
      <c r="H66" s="31"/>
      <c r="I66" s="31"/>
      <c r="J66" s="31"/>
      <c r="K66" s="23"/>
      <c r="L66" s="34" t="s">
        <v>45</v>
      </c>
      <c r="M66" s="143"/>
      <c r="N66" s="34"/>
    </row>
    <row r="67" spans="1:22" ht="15.45" customHeight="1" x14ac:dyDescent="0.25">
      <c r="A67" s="227">
        <v>4</v>
      </c>
      <c r="B67" s="21" t="s">
        <v>41</v>
      </c>
      <c r="C67" s="23">
        <v>80000</v>
      </c>
      <c r="D67" s="86"/>
      <c r="E67" s="31">
        <f t="shared" si="6"/>
        <v>80000</v>
      </c>
      <c r="F67" s="31"/>
      <c r="G67" s="31"/>
      <c r="H67" s="31"/>
      <c r="I67" s="31"/>
      <c r="J67" s="31"/>
      <c r="K67" s="23"/>
    </row>
    <row r="68" spans="1:22" ht="15.45" hidden="1" customHeight="1" x14ac:dyDescent="0.25">
      <c r="A68" s="227" t="s">
        <v>75</v>
      </c>
      <c r="B68" s="78" t="s">
        <v>17</v>
      </c>
      <c r="C68" s="23">
        <v>0</v>
      </c>
      <c r="D68" s="86"/>
      <c r="E68" s="31">
        <f t="shared" si="6"/>
        <v>0</v>
      </c>
      <c r="F68" s="31"/>
      <c r="G68" s="31"/>
      <c r="H68" s="31"/>
      <c r="I68" s="31"/>
      <c r="J68" s="31"/>
      <c r="K68" s="23"/>
    </row>
    <row r="69" spans="1:22" ht="15.45" customHeight="1" x14ac:dyDescent="0.25">
      <c r="A69" s="227">
        <v>4</v>
      </c>
      <c r="B69" s="78" t="s">
        <v>20</v>
      </c>
      <c r="C69" s="23">
        <v>102000</v>
      </c>
      <c r="D69" s="86"/>
      <c r="E69" s="31">
        <f t="shared" si="6"/>
        <v>102000</v>
      </c>
      <c r="F69" s="31"/>
      <c r="G69" s="31"/>
      <c r="H69" s="31"/>
      <c r="I69" s="31"/>
      <c r="J69" s="31"/>
      <c r="K69" s="23"/>
      <c r="L69" s="1" t="s">
        <v>45</v>
      </c>
    </row>
    <row r="70" spans="1:22" ht="15.45" customHeight="1" x14ac:dyDescent="0.25">
      <c r="A70" s="227">
        <v>4</v>
      </c>
      <c r="B70" s="78" t="s">
        <v>87</v>
      </c>
      <c r="C70" s="23">
        <v>0</v>
      </c>
      <c r="D70" s="86"/>
      <c r="E70" s="31">
        <f t="shared" si="6"/>
        <v>0</v>
      </c>
      <c r="F70" s="31"/>
      <c r="G70" s="31"/>
      <c r="H70" s="31"/>
      <c r="I70" s="31"/>
      <c r="J70" s="31"/>
      <c r="K70" s="23"/>
    </row>
    <row r="71" spans="1:22" ht="15.45" customHeight="1" x14ac:dyDescent="0.25">
      <c r="A71" s="227">
        <v>4</v>
      </c>
      <c r="B71" s="21" t="s">
        <v>21</v>
      </c>
      <c r="C71" s="23">
        <v>1000</v>
      </c>
      <c r="D71" s="86"/>
      <c r="E71" s="31">
        <f t="shared" si="6"/>
        <v>1000</v>
      </c>
      <c r="F71" s="31"/>
      <c r="G71" s="31"/>
      <c r="H71" s="31"/>
      <c r="I71" s="31"/>
      <c r="J71" s="31"/>
      <c r="K71" s="23"/>
    </row>
    <row r="72" spans="1:22" ht="15.45" customHeight="1" thickBot="1" x14ac:dyDescent="0.3">
      <c r="A72" s="228">
        <v>4</v>
      </c>
      <c r="B72" s="88" t="s">
        <v>56</v>
      </c>
      <c r="C72" s="24">
        <v>1000</v>
      </c>
      <c r="D72" s="89"/>
      <c r="E72" s="31">
        <f t="shared" si="6"/>
        <v>1000</v>
      </c>
      <c r="F72" s="90"/>
      <c r="G72" s="90"/>
      <c r="H72" s="90"/>
      <c r="I72" s="90"/>
      <c r="J72" s="90"/>
      <c r="K72" s="24"/>
      <c r="M72" s="141"/>
      <c r="N72" s="40"/>
      <c r="O72" s="40"/>
      <c r="P72" s="40"/>
      <c r="Q72" s="40"/>
      <c r="R72" s="40"/>
      <c r="S72" s="40"/>
      <c r="T72" s="40"/>
      <c r="U72" s="40"/>
      <c r="V72" s="40"/>
    </row>
    <row r="73" spans="1:22" s="40" customFormat="1" ht="15.45" customHeight="1" thickBot="1" x14ac:dyDescent="0.3">
      <c r="A73" s="229" t="s">
        <v>89</v>
      </c>
      <c r="B73" s="93"/>
      <c r="C73" s="94">
        <f t="shared" ref="C73:H73" si="7">SUM(C64:C72)</f>
        <v>385500</v>
      </c>
      <c r="D73" s="94">
        <f t="shared" si="7"/>
        <v>0</v>
      </c>
      <c r="E73" s="94">
        <f t="shared" si="7"/>
        <v>385500</v>
      </c>
      <c r="F73" s="94">
        <f t="shared" si="7"/>
        <v>0</v>
      </c>
      <c r="G73" s="94">
        <f t="shared" si="7"/>
        <v>0</v>
      </c>
      <c r="H73" s="94">
        <f t="shared" si="7"/>
        <v>0</v>
      </c>
      <c r="I73" s="94"/>
      <c r="J73" s="94">
        <f>SUM(J64:J72)</f>
        <v>0</v>
      </c>
      <c r="K73" s="94">
        <f>SUM(K64:K72)</f>
        <v>0</v>
      </c>
      <c r="M73" s="141"/>
    </row>
    <row r="74" spans="1:22" s="40" customFormat="1" ht="15.45" customHeight="1" thickBot="1" x14ac:dyDescent="0.3">
      <c r="A74" s="220" t="s">
        <v>88</v>
      </c>
      <c r="B74" s="67"/>
      <c r="C74" s="77"/>
      <c r="D74" s="77"/>
      <c r="E74" s="77"/>
      <c r="F74" s="77"/>
      <c r="G74" s="77"/>
      <c r="H74" s="77"/>
      <c r="I74" s="77"/>
      <c r="J74" s="77"/>
      <c r="K74" s="76"/>
      <c r="M74" s="142"/>
      <c r="N74" s="1"/>
      <c r="O74" s="1"/>
      <c r="P74" s="1"/>
      <c r="Q74" s="1"/>
      <c r="R74" s="1"/>
      <c r="S74" s="1"/>
      <c r="T74" s="1"/>
      <c r="U74" s="1"/>
      <c r="V74" s="1"/>
    </row>
    <row r="75" spans="1:22" ht="15.45" customHeight="1" x14ac:dyDescent="0.25">
      <c r="A75" s="221">
        <v>3</v>
      </c>
      <c r="B75" s="104" t="s">
        <v>22</v>
      </c>
      <c r="C75" s="73">
        <v>5500</v>
      </c>
      <c r="D75" s="71" t="s">
        <v>45</v>
      </c>
      <c r="E75" s="66"/>
      <c r="F75" s="66">
        <f>C75</f>
        <v>5500</v>
      </c>
      <c r="G75" s="66"/>
      <c r="H75" s="66"/>
      <c r="I75" s="66"/>
      <c r="J75" s="66"/>
      <c r="K75" s="25"/>
      <c r="L75" s="34" t="s">
        <v>45</v>
      </c>
    </row>
    <row r="76" spans="1:22" ht="15.45" customHeight="1" x14ac:dyDescent="0.25">
      <c r="A76" s="222">
        <v>3</v>
      </c>
      <c r="B76" s="5" t="s">
        <v>116</v>
      </c>
      <c r="C76" s="26">
        <v>5000</v>
      </c>
      <c r="D76" s="72" t="s">
        <v>45</v>
      </c>
      <c r="E76" s="65"/>
      <c r="F76" s="65">
        <f>C76/6000*2500</f>
        <v>2083.3333333333335</v>
      </c>
      <c r="G76" s="65"/>
      <c r="H76" s="65"/>
      <c r="I76" s="65"/>
      <c r="J76" s="65">
        <f>C76/6000*3500</f>
        <v>2916.666666666667</v>
      </c>
      <c r="K76" s="26"/>
    </row>
    <row r="77" spans="1:22" ht="15.45" customHeight="1" x14ac:dyDescent="0.25">
      <c r="A77" s="222">
        <v>3</v>
      </c>
      <c r="B77" s="5" t="s">
        <v>23</v>
      </c>
      <c r="C77" s="26">
        <v>4500</v>
      </c>
      <c r="D77" s="72" t="s">
        <v>45</v>
      </c>
      <c r="E77" s="65">
        <f>C77</f>
        <v>4500</v>
      </c>
      <c r="F77" s="65"/>
      <c r="G77" s="65"/>
      <c r="H77" s="65"/>
      <c r="I77" s="65"/>
      <c r="J77" s="65"/>
      <c r="K77" s="26"/>
    </row>
    <row r="78" spans="1:22" ht="15.45" customHeight="1" x14ac:dyDescent="0.25">
      <c r="A78" s="222">
        <v>3</v>
      </c>
      <c r="B78" s="6" t="s">
        <v>24</v>
      </c>
      <c r="C78" s="26">
        <v>4500</v>
      </c>
      <c r="D78" s="72" t="s">
        <v>45</v>
      </c>
      <c r="E78" s="65">
        <f t="shared" ref="E78:E81" si="8">C78</f>
        <v>4500</v>
      </c>
      <c r="F78" s="65"/>
      <c r="G78" s="65"/>
      <c r="H78" s="65"/>
      <c r="I78" s="65"/>
      <c r="J78" s="65"/>
      <c r="K78" s="26"/>
    </row>
    <row r="79" spans="1:22" ht="15.45" customHeight="1" x14ac:dyDescent="0.25">
      <c r="A79" s="222">
        <v>3</v>
      </c>
      <c r="B79" s="6" t="s">
        <v>25</v>
      </c>
      <c r="C79" s="26">
        <v>4500</v>
      </c>
      <c r="D79" s="72" t="s">
        <v>45</v>
      </c>
      <c r="E79" s="65">
        <f t="shared" si="8"/>
        <v>4500</v>
      </c>
      <c r="F79" s="65"/>
      <c r="G79" s="65"/>
      <c r="H79" s="65"/>
      <c r="I79" s="65"/>
      <c r="J79" s="65"/>
      <c r="K79" s="26"/>
    </row>
    <row r="80" spans="1:22" ht="15.45" customHeight="1" x14ac:dyDescent="0.25">
      <c r="A80" s="222">
        <v>3</v>
      </c>
      <c r="B80" s="6" t="s">
        <v>26</v>
      </c>
      <c r="C80" s="26">
        <v>4500</v>
      </c>
      <c r="D80" s="72" t="s">
        <v>45</v>
      </c>
      <c r="E80" s="65">
        <f t="shared" si="8"/>
        <v>4500</v>
      </c>
      <c r="F80" s="65"/>
      <c r="G80" s="65"/>
      <c r="H80" s="65"/>
      <c r="I80" s="65"/>
      <c r="J80" s="65"/>
      <c r="K80" s="26"/>
    </row>
    <row r="81" spans="1:22" ht="15.45" customHeight="1" x14ac:dyDescent="0.25">
      <c r="A81" s="222">
        <v>3</v>
      </c>
      <c r="B81" s="6" t="s">
        <v>27</v>
      </c>
      <c r="C81" s="26">
        <v>14000</v>
      </c>
      <c r="D81" s="72" t="s">
        <v>45</v>
      </c>
      <c r="E81" s="65">
        <f t="shared" si="8"/>
        <v>14000</v>
      </c>
      <c r="F81" s="65"/>
      <c r="G81" s="65"/>
      <c r="H81" s="65"/>
      <c r="I81" s="65"/>
      <c r="J81" s="65"/>
      <c r="K81" s="26"/>
    </row>
    <row r="82" spans="1:22" ht="15.45" customHeight="1" x14ac:dyDescent="0.25">
      <c r="A82" s="222">
        <v>3</v>
      </c>
      <c r="B82" s="5" t="s">
        <v>28</v>
      </c>
      <c r="C82" s="26">
        <v>13000</v>
      </c>
      <c r="D82" s="72" t="s">
        <v>45</v>
      </c>
      <c r="E82" s="65"/>
      <c r="F82" s="65">
        <f>C82</f>
        <v>13000</v>
      </c>
      <c r="G82" s="65"/>
      <c r="H82" s="65"/>
      <c r="I82" s="65"/>
      <c r="J82" s="65"/>
      <c r="K82" s="26"/>
    </row>
    <row r="83" spans="1:22" ht="15.45" customHeight="1" thickBot="1" x14ac:dyDescent="0.3">
      <c r="A83" s="230">
        <v>3</v>
      </c>
      <c r="B83" s="95" t="s">
        <v>56</v>
      </c>
      <c r="C83" s="97">
        <v>1000</v>
      </c>
      <c r="D83" s="101"/>
      <c r="E83" s="96"/>
      <c r="F83" s="96">
        <f t="shared" ref="F83" si="9">C83</f>
        <v>1000</v>
      </c>
      <c r="G83" s="96"/>
      <c r="H83" s="96"/>
      <c r="I83" s="96"/>
      <c r="J83" s="96"/>
      <c r="K83" s="97"/>
      <c r="M83" s="141"/>
      <c r="N83" s="40"/>
      <c r="O83" s="40"/>
      <c r="P83" s="40"/>
      <c r="Q83" s="40"/>
      <c r="R83" s="40"/>
      <c r="S83" s="40"/>
      <c r="T83" s="40"/>
      <c r="U83" s="40"/>
      <c r="V83" s="40"/>
    </row>
    <row r="84" spans="1:22" s="40" customFormat="1" ht="15.45" customHeight="1" thickBot="1" x14ac:dyDescent="0.3">
      <c r="A84" s="220" t="s">
        <v>88</v>
      </c>
      <c r="B84" s="67"/>
      <c r="C84" s="77">
        <f t="shared" ref="C84:K84" si="10">SUM(C75:C83)</f>
        <v>56500</v>
      </c>
      <c r="D84" s="77">
        <f t="shared" si="10"/>
        <v>0</v>
      </c>
      <c r="E84" s="77">
        <f t="shared" si="10"/>
        <v>32000</v>
      </c>
      <c r="F84" s="77">
        <f t="shared" si="10"/>
        <v>21583.333333333336</v>
      </c>
      <c r="G84" s="77">
        <f t="shared" si="10"/>
        <v>0</v>
      </c>
      <c r="H84" s="77">
        <f t="shared" si="10"/>
        <v>0</v>
      </c>
      <c r="I84" s="77"/>
      <c r="J84" s="77">
        <f t="shared" si="10"/>
        <v>2916.666666666667</v>
      </c>
      <c r="K84" s="76">
        <f t="shared" si="10"/>
        <v>0</v>
      </c>
      <c r="M84" s="141"/>
    </row>
    <row r="85" spans="1:22" s="40" customFormat="1" ht="15.45" customHeight="1" thickBot="1" x14ac:dyDescent="0.3">
      <c r="A85" s="231" t="s">
        <v>92</v>
      </c>
      <c r="B85" s="107"/>
      <c r="C85" s="108"/>
      <c r="D85" s="108"/>
      <c r="E85" s="108"/>
      <c r="F85" s="108"/>
      <c r="G85" s="108"/>
      <c r="H85" s="108"/>
      <c r="I85" s="108"/>
      <c r="J85" s="108"/>
      <c r="K85" s="109"/>
      <c r="M85" s="141"/>
    </row>
    <row r="86" spans="1:22" s="40" customFormat="1" ht="15.45" customHeight="1" x14ac:dyDescent="0.25">
      <c r="A86" s="232">
        <v>2</v>
      </c>
      <c r="B86" s="12" t="s">
        <v>136</v>
      </c>
      <c r="C86" s="162">
        <v>0</v>
      </c>
      <c r="D86" s="252"/>
      <c r="E86" s="250"/>
      <c r="F86" s="250">
        <f>C86</f>
        <v>0</v>
      </c>
      <c r="G86" s="250"/>
      <c r="H86" s="250"/>
      <c r="I86" s="250"/>
      <c r="J86" s="250"/>
      <c r="K86" s="251"/>
      <c r="L86" s="193" t="s">
        <v>45</v>
      </c>
      <c r="M86" s="141"/>
    </row>
    <row r="87" spans="1:22" s="40" customFormat="1" ht="15.45" customHeight="1" x14ac:dyDescent="0.25">
      <c r="A87" s="226">
        <v>2</v>
      </c>
      <c r="B87" s="8" t="s">
        <v>137</v>
      </c>
      <c r="C87" s="161">
        <v>0</v>
      </c>
      <c r="D87" s="179"/>
      <c r="E87" s="168"/>
      <c r="F87" s="168">
        <f t="shared" ref="F87:F101" si="11">C87</f>
        <v>0</v>
      </c>
      <c r="G87" s="168"/>
      <c r="H87" s="168"/>
      <c r="I87" s="168"/>
      <c r="J87" s="168"/>
      <c r="K87" s="161"/>
      <c r="M87" s="141"/>
    </row>
    <row r="88" spans="1:22" s="40" customFormat="1" ht="15.45" customHeight="1" x14ac:dyDescent="0.25">
      <c r="A88" s="226">
        <v>2</v>
      </c>
      <c r="B88" s="8" t="s">
        <v>31</v>
      </c>
      <c r="C88" s="161">
        <v>0</v>
      </c>
      <c r="D88" s="179"/>
      <c r="E88" s="168"/>
      <c r="F88" s="168">
        <f t="shared" si="11"/>
        <v>0</v>
      </c>
      <c r="G88" s="168"/>
      <c r="H88" s="168"/>
      <c r="I88" s="168"/>
      <c r="J88" s="168"/>
      <c r="K88" s="161"/>
      <c r="M88" s="141"/>
    </row>
    <row r="89" spans="1:22" s="40" customFormat="1" ht="15.45" customHeight="1" x14ac:dyDescent="0.25">
      <c r="A89" s="226">
        <v>2</v>
      </c>
      <c r="B89" s="8" t="s">
        <v>32</v>
      </c>
      <c r="C89" s="112">
        <v>8100</v>
      </c>
      <c r="D89" s="111" t="s">
        <v>45</v>
      </c>
      <c r="E89" s="102"/>
      <c r="F89" s="105">
        <f t="shared" si="11"/>
        <v>8100</v>
      </c>
      <c r="G89" s="102"/>
      <c r="H89" s="102"/>
      <c r="I89" s="102"/>
      <c r="J89" s="102"/>
      <c r="K89" s="103"/>
      <c r="M89" s="141"/>
    </row>
    <row r="90" spans="1:22" s="40" customFormat="1" ht="15.45" customHeight="1" x14ac:dyDescent="0.25">
      <c r="A90" s="226">
        <v>2</v>
      </c>
      <c r="B90" s="7" t="s">
        <v>33</v>
      </c>
      <c r="C90" s="112">
        <v>30000</v>
      </c>
      <c r="D90" s="111" t="s">
        <v>45</v>
      </c>
      <c r="E90" s="102"/>
      <c r="F90" s="105">
        <f t="shared" si="11"/>
        <v>30000</v>
      </c>
      <c r="G90" s="102"/>
      <c r="H90" s="102"/>
      <c r="I90" s="102"/>
      <c r="J90" s="102"/>
      <c r="K90" s="103"/>
      <c r="M90" s="141"/>
    </row>
    <row r="91" spans="1:22" s="40" customFormat="1" ht="15.45" customHeight="1" x14ac:dyDescent="0.25">
      <c r="A91" s="226">
        <v>2</v>
      </c>
      <c r="B91" s="7" t="s">
        <v>34</v>
      </c>
      <c r="C91" s="112">
        <v>0</v>
      </c>
      <c r="D91" s="111" t="s">
        <v>45</v>
      </c>
      <c r="E91" s="102"/>
      <c r="F91" s="105">
        <f t="shared" si="11"/>
        <v>0</v>
      </c>
      <c r="G91" s="102"/>
      <c r="H91" s="102"/>
      <c r="I91" s="102"/>
      <c r="J91" s="102"/>
      <c r="K91" s="103"/>
      <c r="M91" s="141"/>
    </row>
    <row r="92" spans="1:22" ht="15.45" customHeight="1" x14ac:dyDescent="0.25">
      <c r="A92" s="226">
        <v>2</v>
      </c>
      <c r="B92" s="8" t="s">
        <v>134</v>
      </c>
      <c r="C92" s="161">
        <v>0</v>
      </c>
      <c r="D92" s="111" t="s">
        <v>45</v>
      </c>
      <c r="E92" s="105"/>
      <c r="F92" s="105">
        <f>C92</f>
        <v>0</v>
      </c>
      <c r="G92" s="105"/>
      <c r="H92" s="105"/>
      <c r="I92" s="105"/>
      <c r="J92" s="105"/>
      <c r="K92" s="106"/>
    </row>
    <row r="93" spans="1:22" ht="15.45" customHeight="1" x14ac:dyDescent="0.25">
      <c r="A93" s="226">
        <v>2</v>
      </c>
      <c r="B93" s="8" t="s">
        <v>135</v>
      </c>
      <c r="C93" s="161">
        <v>0</v>
      </c>
      <c r="D93" s="111" t="s">
        <v>45</v>
      </c>
      <c r="E93" s="102"/>
      <c r="F93" s="105">
        <f t="shared" ref="F93:F95" si="12">C93</f>
        <v>0</v>
      </c>
      <c r="G93" s="102"/>
      <c r="H93" s="102"/>
      <c r="I93" s="102"/>
      <c r="J93" s="102"/>
      <c r="K93" s="103"/>
    </row>
    <row r="94" spans="1:22" ht="15.45" customHeight="1" x14ac:dyDescent="0.25">
      <c r="A94" s="226">
        <v>2</v>
      </c>
      <c r="B94" s="8" t="s">
        <v>130</v>
      </c>
      <c r="C94" s="161">
        <v>6000</v>
      </c>
      <c r="D94" s="111" t="s">
        <v>45</v>
      </c>
      <c r="E94" s="102"/>
      <c r="F94" s="105">
        <f t="shared" si="12"/>
        <v>6000</v>
      </c>
      <c r="G94" s="102"/>
      <c r="H94" s="102"/>
      <c r="I94" s="102"/>
      <c r="J94" s="102"/>
      <c r="K94" s="103"/>
      <c r="L94" s="1" t="s">
        <v>45</v>
      </c>
    </row>
    <row r="95" spans="1:22" ht="15.45" customHeight="1" x14ac:dyDescent="0.25">
      <c r="A95" s="226">
        <v>2</v>
      </c>
      <c r="B95" s="8" t="s">
        <v>131</v>
      </c>
      <c r="C95" s="161">
        <v>20000</v>
      </c>
      <c r="D95" s="111" t="s">
        <v>45</v>
      </c>
      <c r="E95" s="102"/>
      <c r="F95" s="105">
        <f t="shared" si="12"/>
        <v>20000</v>
      </c>
      <c r="G95" s="102"/>
      <c r="H95" s="102"/>
      <c r="I95" s="102"/>
      <c r="J95" s="102"/>
      <c r="K95" s="103"/>
      <c r="L95" s="1" t="s">
        <v>45</v>
      </c>
    </row>
    <row r="96" spans="1:22" ht="15.45" customHeight="1" x14ac:dyDescent="0.25">
      <c r="A96" s="226">
        <v>2</v>
      </c>
      <c r="B96" s="7" t="s">
        <v>132</v>
      </c>
      <c r="C96" s="112">
        <v>100800</v>
      </c>
      <c r="D96" s="111" t="s">
        <v>45</v>
      </c>
      <c r="E96" s="102">
        <v>0</v>
      </c>
      <c r="F96" s="102">
        <f>C96</f>
        <v>100800</v>
      </c>
      <c r="G96" s="102"/>
      <c r="H96" s="102"/>
      <c r="I96" s="102"/>
      <c r="J96" s="102"/>
      <c r="K96" s="103"/>
      <c r="L96" s="1" t="s">
        <v>45</v>
      </c>
    </row>
    <row r="97" spans="1:22" ht="15.45" customHeight="1" x14ac:dyDescent="0.25">
      <c r="A97" s="226">
        <v>2</v>
      </c>
      <c r="B97" s="7" t="s">
        <v>18</v>
      </c>
      <c r="C97" s="103">
        <v>6000</v>
      </c>
      <c r="D97" s="111"/>
      <c r="E97" s="102">
        <f>C97</f>
        <v>6000</v>
      </c>
      <c r="F97" s="102"/>
      <c r="G97" s="102"/>
      <c r="H97" s="102"/>
      <c r="I97" s="102"/>
      <c r="J97" s="102"/>
      <c r="K97" s="103"/>
      <c r="L97" s="1" t="s">
        <v>45</v>
      </c>
    </row>
    <row r="98" spans="1:22" ht="15.45" customHeight="1" x14ac:dyDescent="0.25">
      <c r="A98" s="226">
        <v>2</v>
      </c>
      <c r="B98" s="7" t="s">
        <v>19</v>
      </c>
      <c r="C98" s="103">
        <v>0</v>
      </c>
      <c r="D98" s="111"/>
      <c r="E98" s="102">
        <f>C98</f>
        <v>0</v>
      </c>
      <c r="F98" s="102"/>
      <c r="G98" s="102"/>
      <c r="H98" s="102"/>
      <c r="I98" s="102"/>
      <c r="J98" s="102"/>
      <c r="K98" s="103"/>
    </row>
    <row r="99" spans="1:22" ht="15.45" customHeight="1" x14ac:dyDescent="0.25">
      <c r="A99" s="226">
        <v>2</v>
      </c>
      <c r="B99" s="8" t="s">
        <v>86</v>
      </c>
      <c r="C99" s="103">
        <v>90000</v>
      </c>
      <c r="D99" s="111"/>
      <c r="E99" s="102">
        <f>C99</f>
        <v>90000</v>
      </c>
      <c r="F99" s="102"/>
      <c r="G99" s="102"/>
      <c r="H99" s="102"/>
      <c r="I99" s="102"/>
      <c r="J99" s="102"/>
      <c r="K99" s="103"/>
    </row>
    <row r="100" spans="1:22" s="40" customFormat="1" ht="15.45" customHeight="1" x14ac:dyDescent="0.25">
      <c r="A100" s="233">
        <v>2</v>
      </c>
      <c r="B100" s="7" t="s">
        <v>35</v>
      </c>
      <c r="C100" s="169">
        <v>0</v>
      </c>
      <c r="D100" s="111" t="s">
        <v>45</v>
      </c>
      <c r="E100" s="102"/>
      <c r="F100" s="105">
        <f t="shared" si="11"/>
        <v>0</v>
      </c>
      <c r="G100" s="102"/>
      <c r="H100" s="102"/>
      <c r="I100" s="102"/>
      <c r="J100" s="102"/>
      <c r="K100" s="103"/>
      <c r="M100" s="141"/>
    </row>
    <row r="101" spans="1:22" s="40" customFormat="1" ht="15.45" customHeight="1" x14ac:dyDescent="0.25">
      <c r="A101" s="233">
        <v>2</v>
      </c>
      <c r="B101" s="7" t="s">
        <v>36</v>
      </c>
      <c r="C101" s="169">
        <v>0</v>
      </c>
      <c r="D101" s="111" t="s">
        <v>45</v>
      </c>
      <c r="E101" s="102"/>
      <c r="F101" s="105">
        <f t="shared" si="11"/>
        <v>0</v>
      </c>
      <c r="G101" s="102"/>
      <c r="H101" s="102"/>
      <c r="I101" s="102"/>
      <c r="J101" s="102"/>
      <c r="K101" s="103"/>
      <c r="M101" s="142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customHeight="1" x14ac:dyDescent="0.25">
      <c r="A102" s="226">
        <v>2</v>
      </c>
      <c r="B102" s="7" t="s">
        <v>16</v>
      </c>
      <c r="C102" s="103">
        <v>5000</v>
      </c>
      <c r="D102" s="111" t="s">
        <v>45</v>
      </c>
      <c r="E102" s="102">
        <f>C102</f>
        <v>5000</v>
      </c>
      <c r="F102" s="102"/>
      <c r="G102" s="102"/>
      <c r="H102" s="102"/>
      <c r="I102" s="102"/>
      <c r="J102" s="102"/>
      <c r="K102" s="103"/>
    </row>
    <row r="103" spans="1:22" ht="15.45" customHeight="1" x14ac:dyDescent="0.25">
      <c r="A103" s="234">
        <v>2</v>
      </c>
      <c r="B103" s="167" t="s">
        <v>133</v>
      </c>
      <c r="C103" s="106">
        <v>130000</v>
      </c>
      <c r="D103" s="110" t="s">
        <v>45</v>
      </c>
      <c r="E103" s="105"/>
      <c r="F103" s="105">
        <f>C103</f>
        <v>130000</v>
      </c>
      <c r="G103" s="105"/>
      <c r="H103" s="105"/>
      <c r="I103" s="105"/>
      <c r="J103" s="105"/>
      <c r="K103" s="106"/>
    </row>
    <row r="104" spans="1:22" ht="15.45" customHeight="1" x14ac:dyDescent="0.25">
      <c r="A104" s="226">
        <v>2</v>
      </c>
      <c r="B104" s="8" t="s">
        <v>29</v>
      </c>
      <c r="C104" s="112">
        <v>2000</v>
      </c>
      <c r="D104" s="111" t="s">
        <v>45</v>
      </c>
      <c r="E104" s="102"/>
      <c r="F104" s="105">
        <f t="shared" ref="F104:F116" si="13">C104</f>
        <v>2000</v>
      </c>
      <c r="G104" s="102"/>
      <c r="H104" s="102"/>
      <c r="I104" s="102"/>
      <c r="J104" s="102"/>
      <c r="K104" s="103"/>
    </row>
    <row r="105" spans="1:22" ht="15.45" customHeight="1" x14ac:dyDescent="0.25">
      <c r="A105" s="226">
        <v>2</v>
      </c>
      <c r="B105" s="8" t="s">
        <v>30</v>
      </c>
      <c r="C105" s="112">
        <v>4000</v>
      </c>
      <c r="D105" s="111" t="s">
        <v>45</v>
      </c>
      <c r="E105" s="102"/>
      <c r="F105" s="105">
        <f t="shared" si="13"/>
        <v>4000</v>
      </c>
      <c r="G105" s="102"/>
      <c r="H105" s="102"/>
      <c r="I105" s="102"/>
      <c r="J105" s="102"/>
      <c r="K105" s="103"/>
    </row>
    <row r="106" spans="1:22" ht="15.45" customHeight="1" x14ac:dyDescent="0.25">
      <c r="A106" s="235">
        <v>2</v>
      </c>
      <c r="B106" s="13" t="s">
        <v>38</v>
      </c>
      <c r="C106" s="113">
        <v>0</v>
      </c>
      <c r="D106" s="114"/>
      <c r="E106" s="115"/>
      <c r="F106" s="105">
        <f t="shared" ref="F106" si="14">C106</f>
        <v>0</v>
      </c>
      <c r="G106" s="115"/>
      <c r="H106" s="115"/>
      <c r="I106" s="115"/>
      <c r="J106" s="115"/>
      <c r="K106" s="113"/>
    </row>
    <row r="107" spans="1:22" ht="15" customHeight="1" x14ac:dyDescent="0.25">
      <c r="A107" s="236">
        <v>2</v>
      </c>
      <c r="B107" s="170" t="s">
        <v>139</v>
      </c>
      <c r="C107" s="171">
        <v>30000</v>
      </c>
      <c r="D107" s="172" t="s">
        <v>45</v>
      </c>
      <c r="E107" s="173"/>
      <c r="F107" s="174">
        <f t="shared" si="13"/>
        <v>30000</v>
      </c>
      <c r="G107" s="173"/>
      <c r="H107" s="173"/>
      <c r="I107" s="173"/>
      <c r="J107" s="173"/>
      <c r="K107" s="175"/>
    </row>
    <row r="108" spans="1:22" ht="15" customHeight="1" x14ac:dyDescent="0.25">
      <c r="A108" s="236">
        <v>2</v>
      </c>
      <c r="B108" s="176" t="s">
        <v>138</v>
      </c>
      <c r="C108" s="171">
        <v>26400</v>
      </c>
      <c r="D108" s="172" t="s">
        <v>45</v>
      </c>
      <c r="E108" s="173"/>
      <c r="F108" s="174">
        <f t="shared" ref="F108:F111" si="15">C108</f>
        <v>26400</v>
      </c>
      <c r="G108" s="173"/>
      <c r="H108" s="173"/>
      <c r="I108" s="173"/>
      <c r="J108" s="173"/>
      <c r="K108" s="175"/>
    </row>
    <row r="109" spans="1:22" ht="15" customHeight="1" x14ac:dyDescent="0.25">
      <c r="A109" s="236">
        <v>2</v>
      </c>
      <c r="B109" s="177" t="s">
        <v>140</v>
      </c>
      <c r="C109" s="171">
        <v>10000</v>
      </c>
      <c r="D109" s="172" t="s">
        <v>45</v>
      </c>
      <c r="E109" s="173"/>
      <c r="F109" s="174">
        <f t="shared" si="15"/>
        <v>10000</v>
      </c>
      <c r="G109" s="173"/>
      <c r="H109" s="173"/>
      <c r="I109" s="173"/>
      <c r="J109" s="173"/>
      <c r="K109" s="175"/>
    </row>
    <row r="110" spans="1:22" ht="15" customHeight="1" x14ac:dyDescent="0.25">
      <c r="A110" s="236">
        <v>2</v>
      </c>
      <c r="B110" s="178" t="s">
        <v>141</v>
      </c>
      <c r="C110" s="175">
        <v>17400</v>
      </c>
      <c r="D110" s="172" t="s">
        <v>45</v>
      </c>
      <c r="E110" s="173"/>
      <c r="F110" s="174">
        <f t="shared" si="15"/>
        <v>17400</v>
      </c>
      <c r="G110" s="173"/>
      <c r="H110" s="173"/>
      <c r="I110" s="173"/>
      <c r="J110" s="173"/>
      <c r="K110" s="175"/>
    </row>
    <row r="111" spans="1:22" ht="15" customHeight="1" x14ac:dyDescent="0.25">
      <c r="A111" s="236">
        <v>2</v>
      </c>
      <c r="B111" s="178" t="s">
        <v>142</v>
      </c>
      <c r="C111" s="175">
        <v>70000</v>
      </c>
      <c r="D111" s="172"/>
      <c r="E111" s="173"/>
      <c r="F111" s="174">
        <f t="shared" si="15"/>
        <v>70000</v>
      </c>
      <c r="G111" s="173"/>
      <c r="H111" s="173"/>
      <c r="I111" s="173"/>
      <c r="J111" s="173"/>
      <c r="K111" s="175"/>
    </row>
    <row r="112" spans="1:22" ht="15.45" customHeight="1" x14ac:dyDescent="0.25">
      <c r="A112" s="226">
        <v>2</v>
      </c>
      <c r="B112" s="8" t="s">
        <v>15</v>
      </c>
      <c r="C112" s="112">
        <v>16560</v>
      </c>
      <c r="D112" s="111" t="s">
        <v>45</v>
      </c>
      <c r="E112" s="102"/>
      <c r="F112" s="105">
        <f t="shared" si="13"/>
        <v>16560</v>
      </c>
      <c r="G112" s="102"/>
      <c r="H112" s="102"/>
      <c r="I112" s="102"/>
      <c r="J112" s="102"/>
      <c r="K112" s="103"/>
    </row>
    <row r="113" spans="1:22" ht="15.45" customHeight="1" x14ac:dyDescent="0.25">
      <c r="A113" s="226">
        <v>2</v>
      </c>
      <c r="B113" s="7" t="s">
        <v>17</v>
      </c>
      <c r="C113" s="112">
        <v>20000</v>
      </c>
      <c r="D113" s="111" t="s">
        <v>45</v>
      </c>
      <c r="E113" s="102"/>
      <c r="F113" s="105">
        <f t="shared" si="13"/>
        <v>20000</v>
      </c>
      <c r="G113" s="102"/>
      <c r="H113" s="102"/>
      <c r="I113" s="102"/>
      <c r="J113" s="102"/>
      <c r="K113" s="103"/>
    </row>
    <row r="114" spans="1:22" ht="15.45" customHeight="1" x14ac:dyDescent="0.25">
      <c r="A114" s="226">
        <v>2</v>
      </c>
      <c r="B114" s="7" t="s">
        <v>16</v>
      </c>
      <c r="C114" s="112">
        <v>3200</v>
      </c>
      <c r="D114" s="111" t="s">
        <v>45</v>
      </c>
      <c r="E114" s="102"/>
      <c r="F114" s="105">
        <f t="shared" si="13"/>
        <v>3200</v>
      </c>
      <c r="G114" s="102"/>
      <c r="H114" s="102"/>
      <c r="I114" s="102"/>
      <c r="J114" s="102"/>
      <c r="K114" s="103"/>
    </row>
    <row r="115" spans="1:22" ht="15.45" customHeight="1" x14ac:dyDescent="0.25">
      <c r="A115" s="226">
        <v>2</v>
      </c>
      <c r="B115" s="7" t="s">
        <v>37</v>
      </c>
      <c r="C115" s="103">
        <v>0</v>
      </c>
      <c r="D115" s="111" t="s">
        <v>45</v>
      </c>
      <c r="E115" s="102"/>
      <c r="F115" s="105">
        <f t="shared" si="13"/>
        <v>0</v>
      </c>
      <c r="G115" s="102"/>
      <c r="H115" s="102"/>
      <c r="I115" s="102"/>
      <c r="J115" s="102"/>
      <c r="K115" s="103"/>
    </row>
    <row r="116" spans="1:22" ht="15.45" customHeight="1" x14ac:dyDescent="0.25">
      <c r="A116" s="226">
        <v>2</v>
      </c>
      <c r="B116" s="7" t="s">
        <v>56</v>
      </c>
      <c r="C116" s="103">
        <v>1000</v>
      </c>
      <c r="D116" s="111" t="s">
        <v>45</v>
      </c>
      <c r="E116" s="102"/>
      <c r="F116" s="105">
        <f t="shared" si="13"/>
        <v>1000</v>
      </c>
      <c r="G116" s="102"/>
      <c r="H116" s="102"/>
      <c r="I116" s="102"/>
      <c r="J116" s="102"/>
      <c r="K116" s="103"/>
    </row>
    <row r="117" spans="1:22" ht="15.45" customHeight="1" thickBot="1" x14ac:dyDescent="0.3">
      <c r="A117" s="237">
        <v>2</v>
      </c>
      <c r="B117" s="196" t="s">
        <v>147</v>
      </c>
      <c r="C117" s="200">
        <v>8750</v>
      </c>
      <c r="D117" s="197"/>
      <c r="E117" s="198"/>
      <c r="F117" s="199"/>
      <c r="G117" s="198"/>
      <c r="H117" s="198"/>
      <c r="I117" s="198">
        <f>C117</f>
        <v>8750</v>
      </c>
      <c r="J117" s="198"/>
      <c r="K117" s="200"/>
      <c r="M117" s="141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1:22" s="40" customFormat="1" ht="15.45" customHeight="1" thickBot="1" x14ac:dyDescent="0.3">
      <c r="A118" s="231" t="s">
        <v>93</v>
      </c>
      <c r="B118" s="107"/>
      <c r="C118" s="108">
        <f>SUM(C86:C117)</f>
        <v>605210</v>
      </c>
      <c r="D118" s="108">
        <f t="shared" ref="D118:K118" si="16">SUM(D86:D117)</f>
        <v>0</v>
      </c>
      <c r="E118" s="108">
        <f t="shared" si="16"/>
        <v>101000</v>
      </c>
      <c r="F118" s="108">
        <f t="shared" si="16"/>
        <v>495460</v>
      </c>
      <c r="G118" s="108">
        <f t="shared" si="16"/>
        <v>0</v>
      </c>
      <c r="H118" s="108">
        <f t="shared" si="16"/>
        <v>0</v>
      </c>
      <c r="I118" s="108">
        <f>SUM(I86:I117)</f>
        <v>8750</v>
      </c>
      <c r="J118" s="108">
        <f t="shared" si="16"/>
        <v>0</v>
      </c>
      <c r="K118" s="109">
        <f t="shared" si="16"/>
        <v>0</v>
      </c>
      <c r="M118" s="141"/>
    </row>
    <row r="119" spans="1:22" s="40" customFormat="1" ht="15.45" customHeight="1" thickBot="1" x14ac:dyDescent="0.3">
      <c r="A119" s="238" t="s">
        <v>53</v>
      </c>
      <c r="B119" s="79"/>
      <c r="C119" s="80"/>
      <c r="D119" s="81" t="s">
        <v>45</v>
      </c>
      <c r="E119" s="82"/>
      <c r="F119" s="82"/>
      <c r="G119" s="82"/>
      <c r="H119" s="82"/>
      <c r="I119" s="82"/>
      <c r="J119" s="82" t="s">
        <v>45</v>
      </c>
      <c r="K119" s="81" t="s">
        <v>45</v>
      </c>
      <c r="M119" s="142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45" customHeight="1" x14ac:dyDescent="0.25">
      <c r="A120" s="239">
        <v>7</v>
      </c>
      <c r="B120" s="116" t="s">
        <v>58</v>
      </c>
      <c r="C120" s="118">
        <v>8000</v>
      </c>
      <c r="D120" s="117" t="s">
        <v>45</v>
      </c>
      <c r="E120" s="29">
        <f>C120</f>
        <v>8000</v>
      </c>
      <c r="F120" s="29"/>
      <c r="G120" s="29"/>
      <c r="H120" s="29"/>
      <c r="I120" s="29"/>
      <c r="J120" s="29" t="s">
        <v>45</v>
      </c>
      <c r="K120" s="30" t="s">
        <v>45</v>
      </c>
    </row>
    <row r="121" spans="1:22" ht="15.45" customHeight="1" x14ac:dyDescent="0.25">
      <c r="A121" s="227">
        <v>7</v>
      </c>
      <c r="B121" s="21" t="s">
        <v>57</v>
      </c>
      <c r="C121" s="87">
        <v>270000</v>
      </c>
      <c r="D121" s="86">
        <f>C121</f>
        <v>270000</v>
      </c>
      <c r="E121" s="31"/>
      <c r="F121" s="31"/>
      <c r="G121" s="31"/>
      <c r="H121" s="31"/>
      <c r="I121" s="31"/>
      <c r="J121" s="31" t="s">
        <v>45</v>
      </c>
      <c r="K121" s="23" t="s">
        <v>45</v>
      </c>
      <c r="L121" s="1" t="s">
        <v>45</v>
      </c>
    </row>
    <row r="122" spans="1:22" ht="15.45" customHeight="1" x14ac:dyDescent="0.25">
      <c r="A122" s="227">
        <v>7</v>
      </c>
      <c r="B122" s="21" t="s">
        <v>111</v>
      </c>
      <c r="C122" s="87">
        <v>2000</v>
      </c>
      <c r="D122" s="86" t="s">
        <v>45</v>
      </c>
      <c r="E122" s="31"/>
      <c r="F122" s="31">
        <f>C122</f>
        <v>2000</v>
      </c>
      <c r="G122" s="31"/>
      <c r="H122" s="31"/>
      <c r="I122" s="31"/>
      <c r="J122" s="31"/>
      <c r="K122" s="23"/>
    </row>
    <row r="123" spans="1:22" ht="15.45" customHeight="1" x14ac:dyDescent="0.25">
      <c r="A123" s="227">
        <v>7</v>
      </c>
      <c r="B123" s="21" t="s">
        <v>112</v>
      </c>
      <c r="C123" s="87">
        <v>500</v>
      </c>
      <c r="D123" s="86" t="s">
        <v>45</v>
      </c>
      <c r="E123" s="31"/>
      <c r="F123" s="31">
        <f>C123</f>
        <v>500</v>
      </c>
      <c r="G123" s="31"/>
      <c r="H123" s="31"/>
      <c r="I123" s="31"/>
      <c r="J123" s="31"/>
      <c r="K123" s="23"/>
    </row>
    <row r="124" spans="1:22" ht="15.45" customHeight="1" x14ac:dyDescent="0.25">
      <c r="A124" s="227">
        <v>7</v>
      </c>
      <c r="B124" s="21" t="s">
        <v>39</v>
      </c>
      <c r="C124" s="87">
        <v>2000</v>
      </c>
      <c r="D124" s="86" t="s">
        <v>45</v>
      </c>
      <c r="E124" s="31"/>
      <c r="F124" s="31"/>
      <c r="G124" s="31">
        <f>C124</f>
        <v>2000</v>
      </c>
      <c r="H124" s="31"/>
      <c r="I124" s="31"/>
      <c r="J124" s="31" t="s">
        <v>45</v>
      </c>
      <c r="K124" s="23" t="s">
        <v>45</v>
      </c>
    </row>
    <row r="125" spans="1:22" ht="15.45" customHeight="1" thickBot="1" x14ac:dyDescent="0.3">
      <c r="A125" s="228">
        <v>7</v>
      </c>
      <c r="B125" s="22" t="s">
        <v>56</v>
      </c>
      <c r="C125" s="24">
        <v>1000</v>
      </c>
      <c r="D125" s="89" t="s">
        <v>45</v>
      </c>
      <c r="E125" s="90"/>
      <c r="F125" s="90"/>
      <c r="G125" s="31">
        <f>C125</f>
        <v>1000</v>
      </c>
      <c r="H125" s="90"/>
      <c r="I125" s="90"/>
      <c r="J125" s="90" t="s">
        <v>45</v>
      </c>
      <c r="K125" s="24" t="s">
        <v>45</v>
      </c>
      <c r="M125" s="141"/>
      <c r="N125" s="40"/>
      <c r="O125" s="40"/>
      <c r="P125" s="40"/>
      <c r="Q125" s="40"/>
      <c r="R125" s="40"/>
      <c r="S125" s="40"/>
      <c r="T125" s="40"/>
      <c r="U125" s="40"/>
      <c r="V125" s="40"/>
    </row>
    <row r="126" spans="1:22" s="40" customFormat="1" ht="15.45" customHeight="1" thickBot="1" x14ac:dyDescent="0.3">
      <c r="A126" s="240" t="s">
        <v>94</v>
      </c>
      <c r="B126" s="91"/>
      <c r="C126" s="119">
        <f>SUM(C120:C125)</f>
        <v>283500</v>
      </c>
      <c r="D126" s="119">
        <f t="shared" ref="D126:K126" si="17">SUM(D120:D125)</f>
        <v>270000</v>
      </c>
      <c r="E126" s="119">
        <f t="shared" si="17"/>
        <v>8000</v>
      </c>
      <c r="F126" s="119">
        <f t="shared" si="17"/>
        <v>2500</v>
      </c>
      <c r="G126" s="119">
        <f t="shared" si="17"/>
        <v>3000</v>
      </c>
      <c r="H126" s="119">
        <f t="shared" si="17"/>
        <v>0</v>
      </c>
      <c r="I126" s="119"/>
      <c r="J126" s="119">
        <f t="shared" si="17"/>
        <v>0</v>
      </c>
      <c r="K126" s="249">
        <f t="shared" si="17"/>
        <v>0</v>
      </c>
      <c r="M126" s="141"/>
    </row>
    <row r="127" spans="1:22" s="40" customFormat="1" ht="15.45" customHeight="1" thickBot="1" x14ac:dyDescent="0.3">
      <c r="A127" s="241" t="s">
        <v>52</v>
      </c>
      <c r="B127" s="120"/>
      <c r="C127" s="92"/>
      <c r="D127" s="121" t="s">
        <v>45</v>
      </c>
      <c r="E127" s="122"/>
      <c r="F127" s="122"/>
      <c r="G127" s="122"/>
      <c r="H127" s="122"/>
      <c r="I127" s="122"/>
      <c r="J127" s="122"/>
      <c r="K127" s="121"/>
      <c r="M127" s="142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45" customHeight="1" x14ac:dyDescent="0.25">
      <c r="A128" s="221">
        <v>5</v>
      </c>
      <c r="B128" s="11" t="s">
        <v>43</v>
      </c>
      <c r="C128" s="123">
        <v>3000</v>
      </c>
      <c r="D128" s="99" t="s">
        <v>45</v>
      </c>
      <c r="E128" s="100"/>
      <c r="F128" s="100">
        <f>C128</f>
        <v>3000</v>
      </c>
      <c r="G128" s="100"/>
      <c r="H128" s="100"/>
      <c r="I128" s="100"/>
      <c r="J128" s="100">
        <v>0</v>
      </c>
      <c r="K128" s="73">
        <v>0</v>
      </c>
    </row>
    <row r="129" spans="1:22" ht="15.45" customHeight="1" x14ac:dyDescent="0.25">
      <c r="A129" s="222">
        <v>5</v>
      </c>
      <c r="B129" s="6" t="s">
        <v>109</v>
      </c>
      <c r="C129" s="124">
        <v>2000</v>
      </c>
      <c r="D129" s="72" t="s">
        <v>45</v>
      </c>
      <c r="E129" s="65"/>
      <c r="F129" s="65">
        <f t="shared" ref="F129:F134" si="18">C129</f>
        <v>2000</v>
      </c>
      <c r="G129" s="65"/>
      <c r="H129" s="65"/>
      <c r="I129" s="65"/>
      <c r="J129" s="65">
        <v>0</v>
      </c>
      <c r="K129" s="26">
        <v>0</v>
      </c>
    </row>
    <row r="130" spans="1:22" ht="15.45" customHeight="1" x14ac:dyDescent="0.25">
      <c r="A130" s="222">
        <v>5</v>
      </c>
      <c r="B130" s="6" t="s">
        <v>55</v>
      </c>
      <c r="C130" s="124">
        <v>2000</v>
      </c>
      <c r="D130" s="72" t="s">
        <v>45</v>
      </c>
      <c r="E130" s="65"/>
      <c r="F130" s="65">
        <f t="shared" si="18"/>
        <v>2000</v>
      </c>
      <c r="G130" s="65"/>
      <c r="H130" s="65"/>
      <c r="I130" s="65"/>
      <c r="J130" s="65">
        <v>0</v>
      </c>
      <c r="K130" s="26">
        <v>0</v>
      </c>
    </row>
    <row r="131" spans="1:22" ht="15.45" customHeight="1" x14ac:dyDescent="0.25">
      <c r="A131" s="222">
        <v>5</v>
      </c>
      <c r="B131" s="6" t="s">
        <v>110</v>
      </c>
      <c r="C131" s="124">
        <v>3000</v>
      </c>
      <c r="D131" s="72" t="s">
        <v>45</v>
      </c>
      <c r="E131" s="65"/>
      <c r="F131" s="65">
        <f t="shared" si="18"/>
        <v>3000</v>
      </c>
      <c r="G131" s="65"/>
      <c r="H131" s="65"/>
      <c r="I131" s="65"/>
      <c r="J131" s="65">
        <v>0</v>
      </c>
      <c r="K131" s="26">
        <v>0</v>
      </c>
    </row>
    <row r="132" spans="1:22" ht="15" customHeight="1" x14ac:dyDescent="0.25">
      <c r="A132" s="222">
        <v>5</v>
      </c>
      <c r="B132" s="6" t="s">
        <v>143</v>
      </c>
      <c r="C132" s="124">
        <v>8000</v>
      </c>
      <c r="D132" s="72"/>
      <c r="E132" s="65"/>
      <c r="F132" s="65">
        <f t="shared" si="18"/>
        <v>8000</v>
      </c>
      <c r="G132" s="65"/>
      <c r="H132" s="65"/>
      <c r="I132" s="65"/>
      <c r="J132" s="65"/>
      <c r="K132" s="26"/>
    </row>
    <row r="133" spans="1:22" ht="15.45" customHeight="1" x14ac:dyDescent="0.25">
      <c r="A133" s="222">
        <v>5</v>
      </c>
      <c r="B133" s="5" t="s">
        <v>166</v>
      </c>
      <c r="C133" s="124">
        <v>5000</v>
      </c>
      <c r="D133" s="72" t="s">
        <v>45</v>
      </c>
      <c r="E133" s="65"/>
      <c r="F133" s="65">
        <f>C133</f>
        <v>5000</v>
      </c>
      <c r="G133" s="65"/>
      <c r="H133" s="65"/>
      <c r="I133" s="65"/>
      <c r="J133" s="65">
        <v>0</v>
      </c>
      <c r="K133" s="26">
        <v>0</v>
      </c>
    </row>
    <row r="134" spans="1:22" ht="15.45" customHeight="1" thickBot="1" x14ac:dyDescent="0.3">
      <c r="A134" s="230">
        <v>5</v>
      </c>
      <c r="B134" s="95" t="s">
        <v>56</v>
      </c>
      <c r="C134" s="126">
        <v>1000</v>
      </c>
      <c r="D134" s="101" t="s">
        <v>45</v>
      </c>
      <c r="E134" s="96"/>
      <c r="F134" s="96">
        <f t="shared" si="18"/>
        <v>1000</v>
      </c>
      <c r="G134" s="96"/>
      <c r="H134" s="96"/>
      <c r="I134" s="96"/>
      <c r="J134" s="96">
        <v>0</v>
      </c>
      <c r="K134" s="97">
        <v>0</v>
      </c>
      <c r="M134" s="141"/>
      <c r="N134" s="40"/>
      <c r="O134" s="40"/>
      <c r="P134" s="40"/>
      <c r="Q134" s="40"/>
      <c r="R134" s="40"/>
      <c r="S134" s="40"/>
      <c r="T134" s="40"/>
      <c r="U134" s="40"/>
      <c r="V134" s="40"/>
    </row>
    <row r="135" spans="1:22" s="40" customFormat="1" ht="15.45" customHeight="1" thickBot="1" x14ac:dyDescent="0.3">
      <c r="A135" s="242" t="s">
        <v>95</v>
      </c>
      <c r="B135" s="98"/>
      <c r="C135" s="125">
        <f>SUM(C128:C134)</f>
        <v>24000</v>
      </c>
      <c r="D135" s="125">
        <f t="shared" ref="D135:K135" si="19">SUM(D128:D134)</f>
        <v>0</v>
      </c>
      <c r="E135" s="125">
        <f t="shared" si="19"/>
        <v>0</v>
      </c>
      <c r="F135" s="125">
        <f t="shared" si="19"/>
        <v>24000</v>
      </c>
      <c r="G135" s="125">
        <f t="shared" si="19"/>
        <v>0</v>
      </c>
      <c r="H135" s="125">
        <f t="shared" si="19"/>
        <v>0</v>
      </c>
      <c r="I135" s="125"/>
      <c r="J135" s="125">
        <f t="shared" si="19"/>
        <v>0</v>
      </c>
      <c r="K135" s="125">
        <f t="shared" si="19"/>
        <v>0</v>
      </c>
      <c r="M135" s="141"/>
    </row>
    <row r="136" spans="1:22" s="40" customFormat="1" ht="15.45" customHeight="1" thickBot="1" x14ac:dyDescent="0.3">
      <c r="A136" s="231" t="s">
        <v>80</v>
      </c>
      <c r="B136" s="129"/>
      <c r="C136" s="130">
        <v>1000</v>
      </c>
      <c r="D136" s="153">
        <v>0</v>
      </c>
      <c r="E136" s="151"/>
      <c r="F136" s="151"/>
      <c r="G136" s="151"/>
      <c r="H136" s="151"/>
      <c r="I136" s="151"/>
      <c r="J136" s="151"/>
      <c r="K136" s="153"/>
      <c r="M136" s="143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s="34" customFormat="1" ht="15.45" customHeight="1" thickBot="1" x14ac:dyDescent="0.3">
      <c r="A137" s="243">
        <v>1</v>
      </c>
      <c r="B137" s="127" t="s">
        <v>56</v>
      </c>
      <c r="C137" s="128"/>
      <c r="D137" s="156" t="s">
        <v>45</v>
      </c>
      <c r="E137" s="128"/>
      <c r="F137" s="157">
        <v>1000</v>
      </c>
      <c r="G137" s="128"/>
      <c r="H137" s="157"/>
      <c r="I137" s="128"/>
      <c r="J137" s="128"/>
      <c r="K137" s="158"/>
      <c r="M137" s="142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45" customHeight="1" thickBot="1" x14ac:dyDescent="0.3">
      <c r="A138" s="244" t="s">
        <v>79</v>
      </c>
      <c r="B138" s="132" t="s">
        <v>40</v>
      </c>
      <c r="C138" s="131">
        <v>0</v>
      </c>
      <c r="D138" s="154">
        <v>0</v>
      </c>
      <c r="E138" s="152"/>
      <c r="F138" s="152"/>
      <c r="G138" s="152"/>
      <c r="H138" s="152"/>
      <c r="I138" s="152"/>
      <c r="J138" s="155"/>
      <c r="K138" s="154"/>
      <c r="L138" s="1" t="s">
        <v>45</v>
      </c>
    </row>
    <row r="139" spans="1:22" ht="14.4" thickBot="1" x14ac:dyDescent="0.3">
      <c r="M139" s="141"/>
      <c r="N139" s="40"/>
      <c r="O139" s="40"/>
      <c r="P139" s="40"/>
      <c r="Q139" s="40"/>
      <c r="R139" s="40"/>
      <c r="S139" s="40"/>
      <c r="T139" s="40"/>
      <c r="U139" s="40"/>
      <c r="V139" s="40"/>
    </row>
    <row r="140" spans="1:22" s="40" customFormat="1" ht="15.45" customHeight="1" thickBot="1" x14ac:dyDescent="0.3">
      <c r="A140" s="246" t="s">
        <v>70</v>
      </c>
      <c r="B140" s="139"/>
      <c r="C140" s="140">
        <f>C45+C55+C62+C73+C84+C118+C126+C135+C136+C138</f>
        <v>2274362</v>
      </c>
      <c r="D140" s="133">
        <f>D45+D55+D62+D73+D84+D118+D126+D135+D136+D138</f>
        <v>285000</v>
      </c>
      <c r="E140" s="133">
        <f>E45+E55+E62+E73+E84+E118+E126+E135+E136+E138</f>
        <v>606500</v>
      </c>
      <c r="F140" s="133">
        <f>F45+F55+F62+F73+F84+F118+F126+F135+F137</f>
        <v>625443.33333333337</v>
      </c>
      <c r="G140" s="133">
        <f>G45+G55+G62+G73+G84+G118+G126+G135+G136+G138</f>
        <v>418513.3998613999</v>
      </c>
      <c r="H140" s="133">
        <f>H45+H55+H62+H73+H84+H118+H126+H135+H136+H138</f>
        <v>147333.33333333334</v>
      </c>
      <c r="I140" s="133">
        <f>I45+I55+I62+I73+I84+I118+I126+I135+I136+I138</f>
        <v>8750</v>
      </c>
      <c r="J140" s="133">
        <f>J45+J55+J62+J73+J84+J118+J126+J135+J136+J138</f>
        <v>105232.88288288288</v>
      </c>
      <c r="K140" s="133">
        <f>K45+K55+K62+K73+K84+K118+K126+K135+K136+K138</f>
        <v>77589.050589050588</v>
      </c>
      <c r="M140" s="142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4.4" thickBot="1" x14ac:dyDescent="0.3">
      <c r="C141" s="1">
        <f>D140+E140+F140+G140+H140+J140+K140+C4</f>
        <v>2361519.0000000005</v>
      </c>
    </row>
    <row r="142" spans="1:22" ht="14.4" thickBot="1" x14ac:dyDescent="0.3">
      <c r="A142" s="247" t="s">
        <v>108</v>
      </c>
      <c r="B142" s="150"/>
      <c r="C142" s="150">
        <f>C7-C140</f>
        <v>162086</v>
      </c>
    </row>
    <row r="143" spans="1:22" ht="15" customHeight="1" x14ac:dyDescent="0.25"/>
  </sheetData>
  <mergeCells count="1">
    <mergeCell ref="C9:C10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D658-27A2-4528-9108-2D665F377F79}">
  <dimension ref="A1:J36"/>
  <sheetViews>
    <sheetView workbookViewId="0">
      <selection activeCell="F18" sqref="F18"/>
    </sheetView>
  </sheetViews>
  <sheetFormatPr defaultRowHeight="14.4" x14ac:dyDescent="0.3"/>
  <cols>
    <col min="1" max="1" width="4.109375" customWidth="1"/>
    <col min="2" max="2" width="22.77734375" bestFit="1" customWidth="1"/>
    <col min="3" max="3" width="14.5546875" style="180" customWidth="1"/>
    <col min="5" max="5" width="4.77734375" customWidth="1"/>
    <col min="6" max="6" width="22.88671875" bestFit="1" customWidth="1"/>
    <col min="7" max="7" width="14.109375" style="181" customWidth="1"/>
    <col min="10" max="10" width="14.33203125" bestFit="1" customWidth="1"/>
  </cols>
  <sheetData>
    <row r="1" spans="1:10" s="182" customFormat="1" x14ac:dyDescent="0.3">
      <c r="A1" s="182" t="s">
        <v>159</v>
      </c>
      <c r="C1" s="183"/>
      <c r="E1" s="182" t="s">
        <v>160</v>
      </c>
      <c r="G1" s="184"/>
    </row>
    <row r="2" spans="1:10" s="182" customFormat="1" x14ac:dyDescent="0.3">
      <c r="C2" s="183">
        <f>SUM(C3:C20)</f>
        <v>284845</v>
      </c>
      <c r="D2" s="183"/>
      <c r="E2" s="183"/>
      <c r="F2" s="183"/>
      <c r="G2" s="183">
        <f>SUM(G3:G20)</f>
        <v>157195</v>
      </c>
      <c r="J2" s="256"/>
    </row>
    <row r="3" spans="1:10" x14ac:dyDescent="0.3">
      <c r="B3" t="s">
        <v>148</v>
      </c>
      <c r="C3" s="180">
        <v>100000</v>
      </c>
      <c r="F3" s="258" t="s">
        <v>151</v>
      </c>
      <c r="G3" s="257">
        <v>101125</v>
      </c>
      <c r="H3" t="s">
        <v>185</v>
      </c>
    </row>
    <row r="4" spans="1:10" x14ac:dyDescent="0.3">
      <c r="B4" t="s">
        <v>169</v>
      </c>
      <c r="C4" s="180">
        <v>34000</v>
      </c>
      <c r="F4" t="s">
        <v>156</v>
      </c>
      <c r="G4" s="181">
        <v>5750</v>
      </c>
    </row>
    <row r="5" spans="1:10" x14ac:dyDescent="0.3">
      <c r="B5" t="s">
        <v>149</v>
      </c>
      <c r="C5" s="180">
        <v>25000</v>
      </c>
      <c r="F5" t="s">
        <v>152</v>
      </c>
      <c r="G5" s="181">
        <v>8000</v>
      </c>
    </row>
    <row r="6" spans="1:10" x14ac:dyDescent="0.3">
      <c r="B6" t="s">
        <v>153</v>
      </c>
      <c r="C6" s="180">
        <v>50000</v>
      </c>
      <c r="F6" t="s">
        <v>157</v>
      </c>
      <c r="G6" s="181">
        <v>4000</v>
      </c>
    </row>
    <row r="7" spans="1:10" x14ac:dyDescent="0.3">
      <c r="B7" t="s">
        <v>150</v>
      </c>
      <c r="C7" s="180">
        <v>3000</v>
      </c>
      <c r="F7" t="s">
        <v>170</v>
      </c>
      <c r="G7" s="181">
        <v>6600</v>
      </c>
    </row>
    <row r="8" spans="1:10" x14ac:dyDescent="0.3">
      <c r="B8" t="s">
        <v>154</v>
      </c>
      <c r="C8" s="180">
        <v>24000</v>
      </c>
      <c r="F8" t="s">
        <v>171</v>
      </c>
      <c r="G8" s="181">
        <v>1320</v>
      </c>
    </row>
    <row r="9" spans="1:10" x14ac:dyDescent="0.3">
      <c r="B9" t="s">
        <v>21</v>
      </c>
      <c r="C9" s="180">
        <v>1500</v>
      </c>
      <c r="F9" t="s">
        <v>182</v>
      </c>
      <c r="G9" s="181">
        <v>100</v>
      </c>
      <c r="H9" t="s">
        <v>184</v>
      </c>
    </row>
    <row r="10" spans="1:10" x14ac:dyDescent="0.3">
      <c r="B10" t="s">
        <v>161</v>
      </c>
      <c r="C10" s="180">
        <v>1245</v>
      </c>
      <c r="F10" t="s">
        <v>183</v>
      </c>
      <c r="G10" s="181">
        <v>2300</v>
      </c>
      <c r="H10" t="s">
        <v>193</v>
      </c>
    </row>
    <row r="11" spans="1:10" x14ac:dyDescent="0.3">
      <c r="B11" t="s">
        <v>155</v>
      </c>
      <c r="C11" s="180">
        <v>1000</v>
      </c>
      <c r="F11" t="s">
        <v>191</v>
      </c>
      <c r="G11" s="180">
        <v>28000</v>
      </c>
    </row>
    <row r="12" spans="1:10" x14ac:dyDescent="0.3">
      <c r="B12" t="s">
        <v>162</v>
      </c>
      <c r="C12" s="180">
        <v>400</v>
      </c>
    </row>
    <row r="13" spans="1:10" x14ac:dyDescent="0.3">
      <c r="B13" t="s">
        <v>172</v>
      </c>
      <c r="C13" s="180">
        <v>2000</v>
      </c>
    </row>
    <row r="14" spans="1:10" x14ac:dyDescent="0.3">
      <c r="B14" t="s">
        <v>173</v>
      </c>
      <c r="C14" s="180">
        <v>27000</v>
      </c>
    </row>
    <row r="15" spans="1:10" x14ac:dyDescent="0.3">
      <c r="B15" t="s">
        <v>174</v>
      </c>
      <c r="C15" s="180">
        <v>500</v>
      </c>
    </row>
    <row r="16" spans="1:10" x14ac:dyDescent="0.3">
      <c r="B16" t="s">
        <v>175</v>
      </c>
      <c r="C16" s="180">
        <v>5000</v>
      </c>
      <c r="D16" t="s">
        <v>192</v>
      </c>
    </row>
    <row r="17" spans="1:6" x14ac:dyDescent="0.3">
      <c r="B17" t="s">
        <v>176</v>
      </c>
      <c r="C17" s="180">
        <v>1000</v>
      </c>
    </row>
    <row r="18" spans="1:6" x14ac:dyDescent="0.3">
      <c r="B18" t="s">
        <v>186</v>
      </c>
      <c r="C18" s="180">
        <v>3500</v>
      </c>
    </row>
    <row r="19" spans="1:6" x14ac:dyDescent="0.3">
      <c r="B19" t="s">
        <v>187</v>
      </c>
      <c r="C19" s="180">
        <v>4000</v>
      </c>
    </row>
    <row r="20" spans="1:6" x14ac:dyDescent="0.3">
      <c r="B20" t="s">
        <v>158</v>
      </c>
      <c r="C20" s="181">
        <v>1700</v>
      </c>
    </row>
    <row r="27" spans="1:6" x14ac:dyDescent="0.3">
      <c r="A27" t="s">
        <v>181</v>
      </c>
      <c r="B27" t="s">
        <v>177</v>
      </c>
      <c r="C27" s="180">
        <v>18920</v>
      </c>
    </row>
    <row r="28" spans="1:6" x14ac:dyDescent="0.3">
      <c r="A28" t="s">
        <v>181</v>
      </c>
      <c r="B28" t="s">
        <v>178</v>
      </c>
      <c r="C28" s="180">
        <v>1800625</v>
      </c>
    </row>
    <row r="29" spans="1:6" x14ac:dyDescent="0.3">
      <c r="A29" t="s">
        <v>181</v>
      </c>
      <c r="B29" t="s">
        <v>188</v>
      </c>
      <c r="C29" s="180">
        <v>78956</v>
      </c>
      <c r="F29" s="261"/>
    </row>
    <row r="30" spans="1:6" x14ac:dyDescent="0.3">
      <c r="A30" t="s">
        <v>181</v>
      </c>
      <c r="B30" s="253" t="s">
        <v>180</v>
      </c>
      <c r="C30" s="254">
        <f>SUM(C27:C29)</f>
        <v>1898501</v>
      </c>
    </row>
    <row r="31" spans="1:6" x14ac:dyDescent="0.3">
      <c r="A31" t="s">
        <v>181</v>
      </c>
      <c r="B31" t="s">
        <v>147</v>
      </c>
      <c r="C31" s="180">
        <v>83500</v>
      </c>
    </row>
    <row r="32" spans="1:6" x14ac:dyDescent="0.3">
      <c r="A32" t="s">
        <v>181</v>
      </c>
      <c r="B32" s="259" t="s">
        <v>189</v>
      </c>
      <c r="C32" s="260">
        <v>12407</v>
      </c>
    </row>
    <row r="33" spans="1:3" x14ac:dyDescent="0.3">
      <c r="A33" t="s">
        <v>181</v>
      </c>
      <c r="B33" s="253" t="s">
        <v>190</v>
      </c>
      <c r="C33" s="254">
        <f>SUM(C31:C32)</f>
        <v>95907</v>
      </c>
    </row>
    <row r="34" spans="1:3" x14ac:dyDescent="0.3">
      <c r="B34" t="s">
        <v>194</v>
      </c>
      <c r="C34" s="180">
        <f>C2</f>
        <v>284845</v>
      </c>
    </row>
    <row r="35" spans="1:3" x14ac:dyDescent="0.3">
      <c r="B35" t="s">
        <v>195</v>
      </c>
      <c r="C35" s="180">
        <f>G2</f>
        <v>157195</v>
      </c>
    </row>
    <row r="36" spans="1:3" x14ac:dyDescent="0.3">
      <c r="B36" s="253" t="s">
        <v>179</v>
      </c>
      <c r="C36" s="255">
        <f>C30+C33+C34+C35</f>
        <v>2436448</v>
      </c>
    </row>
  </sheetData>
  <sortState xmlns:xlrd2="http://schemas.microsoft.com/office/spreadsheetml/2017/richdata2" ref="B3:C11">
    <sortCondition descending="1" ref="C3:C11"/>
  </sortState>
  <phoneticPr fontId="15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ABFE6BF948246BFACDB78CF010B62" ma:contentTypeVersion="10" ma:contentTypeDescription="Create a new document." ma:contentTypeScope="" ma:versionID="c6ad1e693c2363b55743d5c00258b527">
  <xsd:schema xmlns:xsd="http://www.w3.org/2001/XMLSchema" xmlns:xs="http://www.w3.org/2001/XMLSchema" xmlns:p="http://schemas.microsoft.com/office/2006/metadata/properties" xmlns:ns3="d85f89ac-0ab1-4646-b6fc-f05cd682a967" targetNamespace="http://schemas.microsoft.com/office/2006/metadata/properties" ma:root="true" ma:fieldsID="7e5f84398cef18bc8e239e114d5dd338" ns3:_="">
    <xsd:import namespace="d85f89ac-0ab1-4646-b6fc-f05cd682a9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f89ac-0ab1-4646-b6fc-f05cd682a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ADEE5-1A27-411D-9A9B-30C4B8AB33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3D8129-7B8B-48DC-9147-5731BEDA29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9361B6-9B56-4DE0-80D7-1E22AA1AE1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f89ac-0ab1-4646-b6fc-f05cd682a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Rok 2022</vt:lpstr>
      <vt:lpstr>Príjem_2022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SSTZ</dc:creator>
  <cp:lastModifiedBy>Zuzana</cp:lastModifiedBy>
  <dcterms:created xsi:type="dcterms:W3CDTF">2020-11-29T07:13:05Z</dcterms:created>
  <dcterms:modified xsi:type="dcterms:W3CDTF">2022-06-10T13:30:12Z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0x010100019ABFE6BF948246BFACDB78CF010B62</vt:lpwstr>
  </property>
</Properties>
</file>